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695"/>
  </bookViews>
  <sheets>
    <sheet name="Anleitung" sheetId="11" r:id="rId1"/>
    <sheet name="W200S-4" sheetId="6" r:id="rId2"/>
    <sheet name="WS20E-4" sheetId="9" r:id="rId3"/>
    <sheet name="B80-8" sheetId="10" r:id="rId4"/>
    <sheet name="FRS8-4" sheetId="5" r:id="rId5"/>
    <sheet name="G20SC-8" sheetId="8" r:id="rId6"/>
    <sheet name="DT94-8" sheetId="4" r:id="rId7"/>
  </sheets>
  <externalReferences>
    <externalReference r:id="rId8"/>
  </externalReferences>
  <definedNames>
    <definedName name="Poti_Pos.">[1]Poti!$A$3:$A$18</definedName>
  </definedNames>
  <calcPr calcId="125725"/>
</workbook>
</file>

<file path=xl/calcChain.xml><?xml version="1.0" encoding="utf-8"?>
<calcChain xmlns="http://schemas.openxmlformats.org/spreadsheetml/2006/main">
  <c r="V151" i="4"/>
  <c r="W151"/>
  <c r="X151"/>
  <c r="V152"/>
  <c r="W152"/>
  <c r="X152"/>
  <c r="V153"/>
  <c r="W153"/>
  <c r="X153"/>
  <c r="V154"/>
  <c r="W154"/>
  <c r="X154"/>
  <c r="V155"/>
  <c r="W155"/>
  <c r="X155"/>
  <c r="V156"/>
  <c r="W156"/>
  <c r="X156"/>
  <c r="V157"/>
  <c r="W157"/>
  <c r="X157"/>
  <c r="V158"/>
  <c r="W158"/>
  <c r="X158"/>
  <c r="V159"/>
  <c r="W159"/>
  <c r="X159"/>
  <c r="V160"/>
  <c r="W160"/>
  <c r="X160"/>
  <c r="V161"/>
  <c r="W161"/>
  <c r="X161"/>
  <c r="V162"/>
  <c r="W162"/>
  <c r="X162"/>
  <c r="V163"/>
  <c r="W163"/>
  <c r="X163"/>
  <c r="V164"/>
  <c r="W164"/>
  <c r="X164"/>
  <c r="V165"/>
  <c r="W165"/>
  <c r="X165"/>
  <c r="V166"/>
  <c r="W166"/>
  <c r="X166"/>
  <c r="V167"/>
  <c r="W167"/>
  <c r="X167"/>
  <c r="V168"/>
  <c r="W168"/>
  <c r="X168"/>
  <c r="V169"/>
  <c r="W169"/>
  <c r="X169"/>
  <c r="V170"/>
  <c r="W170"/>
  <c r="X170"/>
  <c r="V171"/>
  <c r="W171"/>
  <c r="X171"/>
  <c r="V172"/>
  <c r="W172"/>
  <c r="X172"/>
  <c r="V173"/>
  <c r="W173"/>
  <c r="X173"/>
  <c r="V174"/>
  <c r="W174"/>
  <c r="X174"/>
  <c r="V175"/>
  <c r="W175"/>
  <c r="X175"/>
  <c r="V176"/>
  <c r="W176"/>
  <c r="X176"/>
  <c r="V177"/>
  <c r="W177"/>
  <c r="X177"/>
  <c r="V178"/>
  <c r="W178"/>
  <c r="X178"/>
  <c r="V179"/>
  <c r="W179"/>
  <c r="X179"/>
  <c r="V180"/>
  <c r="W180"/>
  <c r="X180"/>
  <c r="V181"/>
  <c r="W181"/>
  <c r="X181"/>
  <c r="V182"/>
  <c r="W182"/>
  <c r="X182"/>
  <c r="V183"/>
  <c r="W183"/>
  <c r="X183"/>
  <c r="V184"/>
  <c r="W184"/>
  <c r="X184"/>
  <c r="V185"/>
  <c r="W185"/>
  <c r="X185"/>
  <c r="V186"/>
  <c r="W186"/>
  <c r="X186"/>
  <c r="V187"/>
  <c r="W187"/>
  <c r="X187"/>
  <c r="V188"/>
  <c r="W188"/>
  <c r="X188"/>
  <c r="V189"/>
  <c r="W189"/>
  <c r="X189"/>
  <c r="V190"/>
  <c r="W190"/>
  <c r="X190"/>
  <c r="V191"/>
  <c r="W191"/>
  <c r="X191"/>
  <c r="V192"/>
  <c r="W192"/>
  <c r="X192"/>
  <c r="V193"/>
  <c r="W193"/>
  <c r="X193"/>
  <c r="V194"/>
  <c r="W194"/>
  <c r="X194"/>
  <c r="V195"/>
  <c r="W195"/>
  <c r="X195"/>
  <c r="V196"/>
  <c r="W196"/>
  <c r="X196"/>
  <c r="V197"/>
  <c r="W197"/>
  <c r="X197"/>
  <c r="V198"/>
  <c r="W198"/>
  <c r="X198"/>
  <c r="V199"/>
  <c r="W199"/>
  <c r="X199"/>
  <c r="V200"/>
  <c r="W200"/>
  <c r="X200"/>
  <c r="V201"/>
  <c r="W201"/>
  <c r="X201"/>
  <c r="V202"/>
  <c r="W202"/>
  <c r="X202"/>
  <c r="V203"/>
  <c r="W203"/>
  <c r="X203"/>
  <c r="V204"/>
  <c r="W204"/>
  <c r="X204"/>
  <c r="V205"/>
  <c r="W205"/>
  <c r="X205"/>
  <c r="V206"/>
  <c r="W206"/>
  <c r="X206"/>
  <c r="V207"/>
  <c r="W207"/>
  <c r="X207"/>
  <c r="V208"/>
  <c r="W208"/>
  <c r="X208"/>
  <c r="V209"/>
  <c r="W209"/>
  <c r="X209"/>
  <c r="V210"/>
  <c r="W210"/>
  <c r="X210"/>
  <c r="V211"/>
  <c r="W211"/>
  <c r="X211"/>
  <c r="V212"/>
  <c r="W212"/>
  <c r="X212"/>
  <c r="V213"/>
  <c r="W213"/>
  <c r="X213"/>
  <c r="V214"/>
  <c r="W214"/>
  <c r="X214"/>
  <c r="V215"/>
  <c r="W215"/>
  <c r="X215"/>
  <c r="V216"/>
  <c r="W216"/>
  <c r="X216"/>
  <c r="V217"/>
  <c r="W217"/>
  <c r="X217"/>
  <c r="V218"/>
  <c r="W218"/>
  <c r="X218"/>
  <c r="V219"/>
  <c r="W219"/>
  <c r="X219"/>
  <c r="V220"/>
  <c r="W220"/>
  <c r="X220"/>
  <c r="V221"/>
  <c r="W221"/>
  <c r="X221"/>
  <c r="V222"/>
  <c r="W222"/>
  <c r="X222"/>
  <c r="V223"/>
  <c r="W223"/>
  <c r="X223"/>
  <c r="V224"/>
  <c r="W224"/>
  <c r="X224"/>
  <c r="V225"/>
  <c r="W225"/>
  <c r="X225"/>
  <c r="V226"/>
  <c r="W226"/>
  <c r="X226"/>
  <c r="V227"/>
  <c r="W227"/>
  <c r="X227"/>
  <c r="V228"/>
  <c r="W228"/>
  <c r="X228"/>
  <c r="V229"/>
  <c r="W229"/>
  <c r="X229"/>
  <c r="V230"/>
  <c r="W230"/>
  <c r="X230"/>
  <c r="X150"/>
  <c r="W150"/>
  <c r="V150"/>
  <c r="V151" i="8"/>
  <c r="W151"/>
  <c r="X151"/>
  <c r="V152"/>
  <c r="W152"/>
  <c r="X152"/>
  <c r="V153"/>
  <c r="W153"/>
  <c r="X153"/>
  <c r="V154"/>
  <c r="W154"/>
  <c r="X154"/>
  <c r="V155"/>
  <c r="W155"/>
  <c r="X155"/>
  <c r="V156"/>
  <c r="W156"/>
  <c r="X156"/>
  <c r="V157"/>
  <c r="W157"/>
  <c r="X157"/>
  <c r="V158"/>
  <c r="W158"/>
  <c r="X158"/>
  <c r="V159"/>
  <c r="W159"/>
  <c r="X159"/>
  <c r="V160"/>
  <c r="W160"/>
  <c r="X160"/>
  <c r="V161"/>
  <c r="W161"/>
  <c r="X161"/>
  <c r="V162"/>
  <c r="W162"/>
  <c r="X162"/>
  <c r="V163"/>
  <c r="W163"/>
  <c r="X163"/>
  <c r="V164"/>
  <c r="W164"/>
  <c r="X164"/>
  <c r="V165"/>
  <c r="W165"/>
  <c r="X165"/>
  <c r="V166"/>
  <c r="W166"/>
  <c r="X166"/>
  <c r="V167"/>
  <c r="W167"/>
  <c r="X167"/>
  <c r="V168"/>
  <c r="W168"/>
  <c r="X168"/>
  <c r="V169"/>
  <c r="W169"/>
  <c r="X169"/>
  <c r="V170"/>
  <c r="W170"/>
  <c r="X170"/>
  <c r="V171"/>
  <c r="W171"/>
  <c r="X171"/>
  <c r="V172"/>
  <c r="W172"/>
  <c r="X172"/>
  <c r="V173"/>
  <c r="W173"/>
  <c r="X173"/>
  <c r="V174"/>
  <c r="W174"/>
  <c r="X174"/>
  <c r="V175"/>
  <c r="W175"/>
  <c r="X175"/>
  <c r="V176"/>
  <c r="W176"/>
  <c r="X176"/>
  <c r="V177"/>
  <c r="W177"/>
  <c r="X177"/>
  <c r="V178"/>
  <c r="W178"/>
  <c r="X178"/>
  <c r="V179"/>
  <c r="W179"/>
  <c r="X179"/>
  <c r="V180"/>
  <c r="W180"/>
  <c r="X180"/>
  <c r="V181"/>
  <c r="W181"/>
  <c r="X181"/>
  <c r="V182"/>
  <c r="W182"/>
  <c r="X182"/>
  <c r="V183"/>
  <c r="W183"/>
  <c r="X183"/>
  <c r="V184"/>
  <c r="W184"/>
  <c r="X184"/>
  <c r="V185"/>
  <c r="W185"/>
  <c r="X185"/>
  <c r="V186"/>
  <c r="W186"/>
  <c r="X186"/>
  <c r="V187"/>
  <c r="W187"/>
  <c r="X187"/>
  <c r="V188"/>
  <c r="W188"/>
  <c r="X188"/>
  <c r="V189"/>
  <c r="W189"/>
  <c r="X189"/>
  <c r="V190"/>
  <c r="W190"/>
  <c r="X190"/>
  <c r="V191"/>
  <c r="W191"/>
  <c r="X191"/>
  <c r="V192"/>
  <c r="W192"/>
  <c r="X192"/>
  <c r="V193"/>
  <c r="W193"/>
  <c r="X193"/>
  <c r="V194"/>
  <c r="W194"/>
  <c r="X194"/>
  <c r="V195"/>
  <c r="W195"/>
  <c r="X195"/>
  <c r="V196"/>
  <c r="W196"/>
  <c r="X196"/>
  <c r="V197"/>
  <c r="W197"/>
  <c r="X197"/>
  <c r="V198"/>
  <c r="W198"/>
  <c r="X198"/>
  <c r="V199"/>
  <c r="W199"/>
  <c r="X199"/>
  <c r="V200"/>
  <c r="W200"/>
  <c r="X200"/>
  <c r="V201"/>
  <c r="W201"/>
  <c r="X201"/>
  <c r="V202"/>
  <c r="W202"/>
  <c r="X202"/>
  <c r="V203"/>
  <c r="W203"/>
  <c r="X203"/>
  <c r="V204"/>
  <c r="W204"/>
  <c r="X204"/>
  <c r="V205"/>
  <c r="W205"/>
  <c r="X205"/>
  <c r="V206"/>
  <c r="W206"/>
  <c r="X206"/>
  <c r="V207"/>
  <c r="W207"/>
  <c r="X207"/>
  <c r="V208"/>
  <c r="W208"/>
  <c r="X208"/>
  <c r="V209"/>
  <c r="W209"/>
  <c r="X209"/>
  <c r="V210"/>
  <c r="W210"/>
  <c r="X210"/>
  <c r="V211"/>
  <c r="W211"/>
  <c r="X211"/>
  <c r="V212"/>
  <c r="W212"/>
  <c r="X212"/>
  <c r="V213"/>
  <c r="W213"/>
  <c r="X213"/>
  <c r="V214"/>
  <c r="W214"/>
  <c r="X214"/>
  <c r="V215"/>
  <c r="W215"/>
  <c r="X215"/>
  <c r="V216"/>
  <c r="W216"/>
  <c r="X216"/>
  <c r="V217"/>
  <c r="W217"/>
  <c r="X217"/>
  <c r="V218"/>
  <c r="W218"/>
  <c r="X218"/>
  <c r="V219"/>
  <c r="W219"/>
  <c r="X219"/>
  <c r="V220"/>
  <c r="W220"/>
  <c r="X220"/>
  <c r="V221"/>
  <c r="W221"/>
  <c r="X221"/>
  <c r="V222"/>
  <c r="W222"/>
  <c r="X222"/>
  <c r="V223"/>
  <c r="W223"/>
  <c r="X223"/>
  <c r="V224"/>
  <c r="W224"/>
  <c r="X224"/>
  <c r="V225"/>
  <c r="W225"/>
  <c r="X225"/>
  <c r="V226"/>
  <c r="W226"/>
  <c r="X226"/>
  <c r="V227"/>
  <c r="W227"/>
  <c r="X227"/>
  <c r="V228"/>
  <c r="W228"/>
  <c r="X228"/>
  <c r="V229"/>
  <c r="W229"/>
  <c r="X229"/>
  <c r="V230"/>
  <c r="W230"/>
  <c r="X230"/>
  <c r="X150"/>
  <c r="W150"/>
  <c r="V150"/>
  <c r="V105" i="5"/>
  <c r="W105"/>
  <c r="X105"/>
  <c r="V106"/>
  <c r="W106"/>
  <c r="X106"/>
  <c r="V107"/>
  <c r="W107"/>
  <c r="X107"/>
  <c r="V108"/>
  <c r="W108"/>
  <c r="X108"/>
  <c r="V109"/>
  <c r="W109"/>
  <c r="X109"/>
  <c r="V110"/>
  <c r="W110"/>
  <c r="X110"/>
  <c r="V111"/>
  <c r="W111"/>
  <c r="X111"/>
  <c r="V112"/>
  <c r="W112"/>
  <c r="X112"/>
  <c r="V113"/>
  <c r="W113"/>
  <c r="X113"/>
  <c r="V114"/>
  <c r="W114"/>
  <c r="X114"/>
  <c r="V115"/>
  <c r="W115"/>
  <c r="X115"/>
  <c r="V116"/>
  <c r="W116"/>
  <c r="X116"/>
  <c r="V117"/>
  <c r="W117"/>
  <c r="X117"/>
  <c r="V118"/>
  <c r="W118"/>
  <c r="X118"/>
  <c r="V119"/>
  <c r="W119"/>
  <c r="X119"/>
  <c r="V120"/>
  <c r="W120"/>
  <c r="X120"/>
  <c r="V121"/>
  <c r="W121"/>
  <c r="X121"/>
  <c r="V122"/>
  <c r="W122"/>
  <c r="X122"/>
  <c r="V123"/>
  <c r="W123"/>
  <c r="X123"/>
  <c r="V124"/>
  <c r="W124"/>
  <c r="X124"/>
  <c r="V125"/>
  <c r="W125"/>
  <c r="X125"/>
  <c r="V126"/>
  <c r="W126"/>
  <c r="X126"/>
  <c r="V127"/>
  <c r="W127"/>
  <c r="X127"/>
  <c r="V128"/>
  <c r="W128"/>
  <c r="X128"/>
  <c r="V129"/>
  <c r="W129"/>
  <c r="X129"/>
  <c r="V130"/>
  <c r="W130"/>
  <c r="X130"/>
  <c r="V131"/>
  <c r="W131"/>
  <c r="X131"/>
  <c r="V132"/>
  <c r="W132"/>
  <c r="X132"/>
  <c r="V133"/>
  <c r="W133"/>
  <c r="X133"/>
  <c r="V134"/>
  <c r="W134"/>
  <c r="X134"/>
  <c r="V135"/>
  <c r="W135"/>
  <c r="X135"/>
  <c r="V136"/>
  <c r="W136"/>
  <c r="X136"/>
  <c r="V137"/>
  <c r="W137"/>
  <c r="X137"/>
  <c r="V138"/>
  <c r="W138"/>
  <c r="X138"/>
  <c r="V139"/>
  <c r="W139"/>
  <c r="X139"/>
  <c r="V140"/>
  <c r="W140"/>
  <c r="X140"/>
  <c r="V141"/>
  <c r="W141"/>
  <c r="X141"/>
  <c r="V142"/>
  <c r="W142"/>
  <c r="X142"/>
  <c r="V143"/>
  <c r="W143"/>
  <c r="X143"/>
  <c r="V144"/>
  <c r="W144"/>
  <c r="X144"/>
  <c r="V145"/>
  <c r="W145"/>
  <c r="X145"/>
  <c r="V146"/>
  <c r="W146"/>
  <c r="X146"/>
  <c r="V147"/>
  <c r="W147"/>
  <c r="X147"/>
  <c r="V148"/>
  <c r="W148"/>
  <c r="X148"/>
  <c r="V149"/>
  <c r="W149"/>
  <c r="X149"/>
  <c r="V150"/>
  <c r="W150"/>
  <c r="X150"/>
  <c r="V151"/>
  <c r="W151"/>
  <c r="X151"/>
  <c r="V152"/>
  <c r="W152"/>
  <c r="X152"/>
  <c r="V153"/>
  <c r="W153"/>
  <c r="X153"/>
  <c r="V154"/>
  <c r="W154"/>
  <c r="X154"/>
  <c r="V155"/>
  <c r="W155"/>
  <c r="X155"/>
  <c r="V156"/>
  <c r="W156"/>
  <c r="X156"/>
  <c r="V157"/>
  <c r="W157"/>
  <c r="X157"/>
  <c r="V158"/>
  <c r="W158"/>
  <c r="X158"/>
  <c r="V159"/>
  <c r="W159"/>
  <c r="X159"/>
  <c r="V160"/>
  <c r="W160"/>
  <c r="X160"/>
  <c r="V161"/>
  <c r="W161"/>
  <c r="X161"/>
  <c r="V162"/>
  <c r="W162"/>
  <c r="X162"/>
  <c r="V163"/>
  <c r="W163"/>
  <c r="X163"/>
  <c r="V164"/>
  <c r="W164"/>
  <c r="X164"/>
  <c r="V165"/>
  <c r="W165"/>
  <c r="X165"/>
  <c r="V166"/>
  <c r="W166"/>
  <c r="X166"/>
  <c r="V167"/>
  <c r="W167"/>
  <c r="X167"/>
  <c r="V168"/>
  <c r="W168"/>
  <c r="X168"/>
  <c r="V169"/>
  <c r="W169"/>
  <c r="X169"/>
  <c r="V170"/>
  <c r="W170"/>
  <c r="X170"/>
  <c r="V171"/>
  <c r="W171"/>
  <c r="X171"/>
  <c r="V172"/>
  <c r="W172"/>
  <c r="X172"/>
  <c r="V173"/>
  <c r="W173"/>
  <c r="X173"/>
  <c r="V174"/>
  <c r="W174"/>
  <c r="X174"/>
  <c r="V175"/>
  <c r="W175"/>
  <c r="X175"/>
  <c r="V176"/>
  <c r="W176"/>
  <c r="X176"/>
  <c r="V177"/>
  <c r="W177"/>
  <c r="X177"/>
  <c r="V178"/>
  <c r="W178"/>
  <c r="X178"/>
  <c r="V179"/>
  <c r="W179"/>
  <c r="X179"/>
  <c r="V180"/>
  <c r="W180"/>
  <c r="X180"/>
  <c r="V181"/>
  <c r="W181"/>
  <c r="X181"/>
  <c r="V182"/>
  <c r="W182"/>
  <c r="X182"/>
  <c r="V183"/>
  <c r="W183"/>
  <c r="X183"/>
  <c r="V184"/>
  <c r="W184"/>
  <c r="X184"/>
  <c r="V185"/>
  <c r="W185"/>
  <c r="X185"/>
  <c r="V186"/>
  <c r="W186"/>
  <c r="X186"/>
  <c r="V187"/>
  <c r="W187"/>
  <c r="X187"/>
  <c r="V188"/>
  <c r="W188"/>
  <c r="X188"/>
  <c r="V189"/>
  <c r="W189"/>
  <c r="X189"/>
  <c r="V190"/>
  <c r="W190"/>
  <c r="X190"/>
  <c r="V191"/>
  <c r="W191"/>
  <c r="X191"/>
  <c r="V192"/>
  <c r="W192"/>
  <c r="X192"/>
  <c r="V193"/>
  <c r="W193"/>
  <c r="X193"/>
  <c r="V194"/>
  <c r="W194"/>
  <c r="X194"/>
  <c r="V195"/>
  <c r="W195"/>
  <c r="X195"/>
  <c r="V196"/>
  <c r="W196"/>
  <c r="X196"/>
  <c r="V197"/>
  <c r="W197"/>
  <c r="X197"/>
  <c r="V198"/>
  <c r="W198"/>
  <c r="X198"/>
  <c r="V199"/>
  <c r="W199"/>
  <c r="X199"/>
  <c r="V200"/>
  <c r="W200"/>
  <c r="X200"/>
  <c r="V201"/>
  <c r="W201"/>
  <c r="X201"/>
  <c r="V202"/>
  <c r="W202"/>
  <c r="X202"/>
  <c r="V203"/>
  <c r="W203"/>
  <c r="X203"/>
  <c r="V204"/>
  <c r="W204"/>
  <c r="X204"/>
  <c r="V205"/>
  <c r="W205"/>
  <c r="X205"/>
  <c r="V206"/>
  <c r="W206"/>
  <c r="X206"/>
  <c r="V207"/>
  <c r="W207"/>
  <c r="X207"/>
  <c r="V208"/>
  <c r="W208"/>
  <c r="X208"/>
  <c r="V209"/>
  <c r="W209"/>
  <c r="X209"/>
  <c r="V210"/>
  <c r="W210"/>
  <c r="X210"/>
  <c r="V211"/>
  <c r="W211"/>
  <c r="X211"/>
  <c r="V212"/>
  <c r="W212"/>
  <c r="X212"/>
  <c r="V213"/>
  <c r="W213"/>
  <c r="X213"/>
  <c r="V214"/>
  <c r="W214"/>
  <c r="X214"/>
  <c r="V215"/>
  <c r="W215"/>
  <c r="X215"/>
  <c r="V216"/>
  <c r="W216"/>
  <c r="X216"/>
  <c r="V217"/>
  <c r="W217"/>
  <c r="X217"/>
  <c r="V218"/>
  <c r="W218"/>
  <c r="X218"/>
  <c r="V219"/>
  <c r="W219"/>
  <c r="X219"/>
  <c r="V220"/>
  <c r="W220"/>
  <c r="X220"/>
  <c r="V221"/>
  <c r="W221"/>
  <c r="X221"/>
  <c r="V222"/>
  <c r="W222"/>
  <c r="X222"/>
  <c r="V223"/>
  <c r="W223"/>
  <c r="X223"/>
  <c r="V224"/>
  <c r="W224"/>
  <c r="X224"/>
  <c r="V225"/>
  <c r="W225"/>
  <c r="X225"/>
  <c r="V226"/>
  <c r="W226"/>
  <c r="X226"/>
  <c r="V227"/>
  <c r="W227"/>
  <c r="X227"/>
  <c r="V228"/>
  <c r="W228"/>
  <c r="X228"/>
  <c r="V229"/>
  <c r="W229"/>
  <c r="X229"/>
  <c r="V230"/>
  <c r="W230"/>
  <c r="X230"/>
  <c r="X104"/>
  <c r="W104"/>
  <c r="V104"/>
  <c r="V106" i="10"/>
  <c r="W106"/>
  <c r="X106"/>
  <c r="V107"/>
  <c r="W107"/>
  <c r="X107"/>
  <c r="V108"/>
  <c r="W108"/>
  <c r="X108"/>
  <c r="V109"/>
  <c r="W109"/>
  <c r="X109"/>
  <c r="V110"/>
  <c r="W110"/>
  <c r="X110"/>
  <c r="V111"/>
  <c r="W111"/>
  <c r="X111"/>
  <c r="V112"/>
  <c r="W112"/>
  <c r="X112"/>
  <c r="V113"/>
  <c r="W113"/>
  <c r="X113"/>
  <c r="V114"/>
  <c r="W114"/>
  <c r="X114"/>
  <c r="V115"/>
  <c r="W115"/>
  <c r="X115"/>
  <c r="V116"/>
  <c r="W116"/>
  <c r="X116"/>
  <c r="V117"/>
  <c r="W117"/>
  <c r="X117"/>
  <c r="V118"/>
  <c r="W118"/>
  <c r="X118"/>
  <c r="V119"/>
  <c r="W119"/>
  <c r="X119"/>
  <c r="V120"/>
  <c r="W120"/>
  <c r="X120"/>
  <c r="V121"/>
  <c r="W121"/>
  <c r="X121"/>
  <c r="V122"/>
  <c r="W122"/>
  <c r="X122"/>
  <c r="V123"/>
  <c r="W123"/>
  <c r="X123"/>
  <c r="V124"/>
  <c r="W124"/>
  <c r="X124"/>
  <c r="V125"/>
  <c r="W125"/>
  <c r="X125"/>
  <c r="V126"/>
  <c r="W126"/>
  <c r="X126"/>
  <c r="V127"/>
  <c r="W127"/>
  <c r="X127"/>
  <c r="V128"/>
  <c r="W128"/>
  <c r="X128"/>
  <c r="V129"/>
  <c r="W129"/>
  <c r="X129"/>
  <c r="V130"/>
  <c r="W130"/>
  <c r="X130"/>
  <c r="V131"/>
  <c r="W131"/>
  <c r="X131"/>
  <c r="V132"/>
  <c r="W132"/>
  <c r="X132"/>
  <c r="V133"/>
  <c r="W133"/>
  <c r="X133"/>
  <c r="V134"/>
  <c r="W134"/>
  <c r="X134"/>
  <c r="V135"/>
  <c r="W135"/>
  <c r="X135"/>
  <c r="V136"/>
  <c r="W136"/>
  <c r="X136"/>
  <c r="V137"/>
  <c r="W137"/>
  <c r="X137"/>
  <c r="V138"/>
  <c r="W138"/>
  <c r="X138"/>
  <c r="V139"/>
  <c r="W139"/>
  <c r="X139"/>
  <c r="V140"/>
  <c r="W140"/>
  <c r="X140"/>
  <c r="V141"/>
  <c r="W141"/>
  <c r="X141"/>
  <c r="V142"/>
  <c r="W142"/>
  <c r="X142"/>
  <c r="V143"/>
  <c r="W143"/>
  <c r="X143"/>
  <c r="V144"/>
  <c r="W144"/>
  <c r="X144"/>
  <c r="V145"/>
  <c r="W145"/>
  <c r="X145"/>
  <c r="V146"/>
  <c r="W146"/>
  <c r="X146"/>
  <c r="V147"/>
  <c r="W147"/>
  <c r="X147"/>
  <c r="V148"/>
  <c r="W148"/>
  <c r="X148"/>
  <c r="V149"/>
  <c r="W149"/>
  <c r="X149"/>
  <c r="V150"/>
  <c r="W150"/>
  <c r="X150"/>
  <c r="V151"/>
  <c r="W151"/>
  <c r="X151"/>
  <c r="V152"/>
  <c r="W152"/>
  <c r="X152"/>
  <c r="V153"/>
  <c r="W153"/>
  <c r="X153"/>
  <c r="V154"/>
  <c r="W154"/>
  <c r="X154"/>
  <c r="V155"/>
  <c r="W155"/>
  <c r="X155"/>
  <c r="V156"/>
  <c r="W156"/>
  <c r="X156"/>
  <c r="V157"/>
  <c r="W157"/>
  <c r="X157"/>
  <c r="V158"/>
  <c r="W158"/>
  <c r="X158"/>
  <c r="V159"/>
  <c r="W159"/>
  <c r="X159"/>
  <c r="V160"/>
  <c r="W160"/>
  <c r="X160"/>
  <c r="V161"/>
  <c r="W161"/>
  <c r="X161"/>
  <c r="V162"/>
  <c r="W162"/>
  <c r="X162"/>
  <c r="V163"/>
  <c r="W163"/>
  <c r="X163"/>
  <c r="V164"/>
  <c r="W164"/>
  <c r="X164"/>
  <c r="V165"/>
  <c r="W165"/>
  <c r="X165"/>
  <c r="V166"/>
  <c r="W166"/>
  <c r="X166"/>
  <c r="V167"/>
  <c r="W167"/>
  <c r="X167"/>
  <c r="V168"/>
  <c r="W168"/>
  <c r="X168"/>
  <c r="V169"/>
  <c r="W169"/>
  <c r="X169"/>
  <c r="V170"/>
  <c r="W170"/>
  <c r="X170"/>
  <c r="V171"/>
  <c r="W171"/>
  <c r="X171"/>
  <c r="V172"/>
  <c r="W172"/>
  <c r="X172"/>
  <c r="V173"/>
  <c r="W173"/>
  <c r="X173"/>
  <c r="V174"/>
  <c r="W174"/>
  <c r="X174"/>
  <c r="V175"/>
  <c r="W175"/>
  <c r="X175"/>
  <c r="V176"/>
  <c r="W176"/>
  <c r="X176"/>
  <c r="V177"/>
  <c r="W177"/>
  <c r="X177"/>
  <c r="V178"/>
  <c r="W178"/>
  <c r="X178"/>
  <c r="V179"/>
  <c r="W179"/>
  <c r="X179"/>
  <c r="V180"/>
  <c r="W180"/>
  <c r="X180"/>
  <c r="V181"/>
  <c r="W181"/>
  <c r="X181"/>
  <c r="V182"/>
  <c r="W182"/>
  <c r="X182"/>
  <c r="V183"/>
  <c r="W183"/>
  <c r="X183"/>
  <c r="V184"/>
  <c r="W184"/>
  <c r="X184"/>
  <c r="V185"/>
  <c r="W185"/>
  <c r="X185"/>
  <c r="V186"/>
  <c r="W186"/>
  <c r="X186"/>
  <c r="V187"/>
  <c r="W187"/>
  <c r="X187"/>
  <c r="V188"/>
  <c r="W188"/>
  <c r="X188"/>
  <c r="V189"/>
  <c r="W189"/>
  <c r="X189"/>
  <c r="V190"/>
  <c r="W190"/>
  <c r="X190"/>
  <c r="V191"/>
  <c r="W191"/>
  <c r="X191"/>
  <c r="V192"/>
  <c r="W192"/>
  <c r="X192"/>
  <c r="V193"/>
  <c r="W193"/>
  <c r="X193"/>
  <c r="V194"/>
  <c r="W194"/>
  <c r="X194"/>
  <c r="V195"/>
  <c r="W195"/>
  <c r="X195"/>
  <c r="V196"/>
  <c r="W196"/>
  <c r="X196"/>
  <c r="V197"/>
  <c r="W197"/>
  <c r="X197"/>
  <c r="V198"/>
  <c r="W198"/>
  <c r="X198"/>
  <c r="V199"/>
  <c r="W199"/>
  <c r="X199"/>
  <c r="V200"/>
  <c r="W200"/>
  <c r="X200"/>
  <c r="V201"/>
  <c r="W201"/>
  <c r="X201"/>
  <c r="V202"/>
  <c r="W202"/>
  <c r="X202"/>
  <c r="V203"/>
  <c r="W203"/>
  <c r="X203"/>
  <c r="V204"/>
  <c r="W204"/>
  <c r="X204"/>
  <c r="V205"/>
  <c r="W205"/>
  <c r="X205"/>
  <c r="V206"/>
  <c r="W206"/>
  <c r="X206"/>
  <c r="V207"/>
  <c r="W207"/>
  <c r="X207"/>
  <c r="V208"/>
  <c r="W208"/>
  <c r="X208"/>
  <c r="V209"/>
  <c r="W209"/>
  <c r="X209"/>
  <c r="V210"/>
  <c r="W210"/>
  <c r="X210"/>
  <c r="V211"/>
  <c r="W211"/>
  <c r="X211"/>
  <c r="V212"/>
  <c r="W212"/>
  <c r="X212"/>
  <c r="V213"/>
  <c r="W213"/>
  <c r="X213"/>
  <c r="V214"/>
  <c r="W214"/>
  <c r="X214"/>
  <c r="V215"/>
  <c r="W215"/>
  <c r="X215"/>
  <c r="V216"/>
  <c r="W216"/>
  <c r="X216"/>
  <c r="V217"/>
  <c r="W217"/>
  <c r="X217"/>
  <c r="V218"/>
  <c r="W218"/>
  <c r="X218"/>
  <c r="V219"/>
  <c r="W219"/>
  <c r="X219"/>
  <c r="V220"/>
  <c r="W220"/>
  <c r="X220"/>
  <c r="V221"/>
  <c r="W221"/>
  <c r="X221"/>
  <c r="V222"/>
  <c r="W222"/>
  <c r="X222"/>
  <c r="V223"/>
  <c r="W223"/>
  <c r="X223"/>
  <c r="V224"/>
  <c r="W224"/>
  <c r="X224"/>
  <c r="V225"/>
  <c r="W225"/>
  <c r="X225"/>
  <c r="V226"/>
  <c r="W226"/>
  <c r="X226"/>
  <c r="V227"/>
  <c r="W227"/>
  <c r="X227"/>
  <c r="V228"/>
  <c r="W228"/>
  <c r="X228"/>
  <c r="V229"/>
  <c r="W229"/>
  <c r="X229"/>
  <c r="V230"/>
  <c r="W230"/>
  <c r="X230"/>
  <c r="V105"/>
  <c r="W105"/>
  <c r="X105"/>
  <c r="X104"/>
  <c r="W104"/>
  <c r="V104"/>
  <c r="V105" i="9"/>
  <c r="W105"/>
  <c r="X105"/>
  <c r="V106"/>
  <c r="W106"/>
  <c r="X106"/>
  <c r="V107"/>
  <c r="W107"/>
  <c r="X107"/>
  <c r="V108"/>
  <c r="W108"/>
  <c r="X108"/>
  <c r="V109"/>
  <c r="W109"/>
  <c r="X109"/>
  <c r="V110"/>
  <c r="W110"/>
  <c r="X110"/>
  <c r="V111"/>
  <c r="W111"/>
  <c r="X111"/>
  <c r="V112"/>
  <c r="W112"/>
  <c r="X112"/>
  <c r="V113"/>
  <c r="W113"/>
  <c r="X113"/>
  <c r="V114"/>
  <c r="W114"/>
  <c r="X114"/>
  <c r="V115"/>
  <c r="W115"/>
  <c r="X115"/>
  <c r="V116"/>
  <c r="W116"/>
  <c r="X116"/>
  <c r="V117"/>
  <c r="W117"/>
  <c r="X117"/>
  <c r="V118"/>
  <c r="W118"/>
  <c r="X118"/>
  <c r="V119"/>
  <c r="W119"/>
  <c r="X119"/>
  <c r="V120"/>
  <c r="W120"/>
  <c r="X120"/>
  <c r="V121"/>
  <c r="W121"/>
  <c r="X121"/>
  <c r="V122"/>
  <c r="W122"/>
  <c r="X122"/>
  <c r="V123"/>
  <c r="W123"/>
  <c r="X123"/>
  <c r="V124"/>
  <c r="W124"/>
  <c r="X124"/>
  <c r="V125"/>
  <c r="W125"/>
  <c r="X125"/>
  <c r="V126"/>
  <c r="W126"/>
  <c r="X126"/>
  <c r="V127"/>
  <c r="W127"/>
  <c r="X127"/>
  <c r="V128"/>
  <c r="W128"/>
  <c r="X128"/>
  <c r="V129"/>
  <c r="W129"/>
  <c r="X129"/>
  <c r="V130"/>
  <c r="W130"/>
  <c r="X130"/>
  <c r="V131"/>
  <c r="W131"/>
  <c r="X131"/>
  <c r="V132"/>
  <c r="W132"/>
  <c r="X132"/>
  <c r="V133"/>
  <c r="W133"/>
  <c r="X133"/>
  <c r="V134"/>
  <c r="W134"/>
  <c r="X134"/>
  <c r="V135"/>
  <c r="W135"/>
  <c r="X135"/>
  <c r="V136"/>
  <c r="W136"/>
  <c r="X136"/>
  <c r="V137"/>
  <c r="W137"/>
  <c r="X137"/>
  <c r="V138"/>
  <c r="W138"/>
  <c r="X138"/>
  <c r="V139"/>
  <c r="W139"/>
  <c r="X139"/>
  <c r="V140"/>
  <c r="W140"/>
  <c r="X140"/>
  <c r="V141"/>
  <c r="W141"/>
  <c r="X141"/>
  <c r="V142"/>
  <c r="W142"/>
  <c r="X142"/>
  <c r="V143"/>
  <c r="W143"/>
  <c r="X143"/>
  <c r="V144"/>
  <c r="W144"/>
  <c r="X144"/>
  <c r="V145"/>
  <c r="W145"/>
  <c r="X145"/>
  <c r="V146"/>
  <c r="W146"/>
  <c r="X146"/>
  <c r="V147"/>
  <c r="W147"/>
  <c r="X147"/>
  <c r="V148"/>
  <c r="W148"/>
  <c r="X148"/>
  <c r="V149"/>
  <c r="W149"/>
  <c r="X149"/>
  <c r="V150"/>
  <c r="W150"/>
  <c r="X150"/>
  <c r="V151"/>
  <c r="W151"/>
  <c r="X151"/>
  <c r="V152"/>
  <c r="W152"/>
  <c r="X152"/>
  <c r="V153"/>
  <c r="W153"/>
  <c r="X153"/>
  <c r="V154"/>
  <c r="W154"/>
  <c r="X154"/>
  <c r="V155"/>
  <c r="W155"/>
  <c r="X155"/>
  <c r="V156"/>
  <c r="W156"/>
  <c r="X156"/>
  <c r="V157"/>
  <c r="W157"/>
  <c r="X157"/>
  <c r="V158"/>
  <c r="W158"/>
  <c r="X158"/>
  <c r="V159"/>
  <c r="W159"/>
  <c r="X159"/>
  <c r="V160"/>
  <c r="W160"/>
  <c r="X160"/>
  <c r="V161"/>
  <c r="W161"/>
  <c r="X161"/>
  <c r="V162"/>
  <c r="W162"/>
  <c r="X162"/>
  <c r="V163"/>
  <c r="W163"/>
  <c r="X163"/>
  <c r="V164"/>
  <c r="W164"/>
  <c r="X164"/>
  <c r="V165"/>
  <c r="W165"/>
  <c r="X165"/>
  <c r="V166"/>
  <c r="W166"/>
  <c r="X166"/>
  <c r="V167"/>
  <c r="W167"/>
  <c r="X167"/>
  <c r="V168"/>
  <c r="W168"/>
  <c r="X168"/>
  <c r="V169"/>
  <c r="W169"/>
  <c r="X169"/>
  <c r="V170"/>
  <c r="W170"/>
  <c r="X170"/>
  <c r="V171"/>
  <c r="W171"/>
  <c r="X171"/>
  <c r="V172"/>
  <c r="W172"/>
  <c r="X172"/>
  <c r="V173"/>
  <c r="W173"/>
  <c r="X173"/>
  <c r="V174"/>
  <c r="W174"/>
  <c r="X174"/>
  <c r="V175"/>
  <c r="W175"/>
  <c r="X175"/>
  <c r="V176"/>
  <c r="W176"/>
  <c r="X176"/>
  <c r="V177"/>
  <c r="W177"/>
  <c r="X177"/>
  <c r="V178"/>
  <c r="W178"/>
  <c r="X178"/>
  <c r="V179"/>
  <c r="W179"/>
  <c r="X179"/>
  <c r="V180"/>
  <c r="W180"/>
  <c r="X180"/>
  <c r="V181"/>
  <c r="W181"/>
  <c r="X181"/>
  <c r="V182"/>
  <c r="W182"/>
  <c r="X182"/>
  <c r="V183"/>
  <c r="W183"/>
  <c r="X183"/>
  <c r="V184"/>
  <c r="W184"/>
  <c r="X184"/>
  <c r="V185"/>
  <c r="W185"/>
  <c r="X185"/>
  <c r="V186"/>
  <c r="W186"/>
  <c r="X186"/>
  <c r="V187"/>
  <c r="W187"/>
  <c r="X187"/>
  <c r="V188"/>
  <c r="W188"/>
  <c r="X188"/>
  <c r="X104"/>
  <c r="W104"/>
  <c r="V104"/>
  <c r="W105" i="6"/>
  <c r="X105"/>
  <c r="W106"/>
  <c r="X106"/>
  <c r="W107"/>
  <c r="X107"/>
  <c r="W108"/>
  <c r="X108"/>
  <c r="W109"/>
  <c r="X109"/>
  <c r="W110"/>
  <c r="X110"/>
  <c r="W111"/>
  <c r="X111"/>
  <c r="W112"/>
  <c r="X112"/>
  <c r="W113"/>
  <c r="X113"/>
  <c r="W114"/>
  <c r="X114"/>
  <c r="W115"/>
  <c r="X115"/>
  <c r="W116"/>
  <c r="X116"/>
  <c r="W117"/>
  <c r="X117"/>
  <c r="W118"/>
  <c r="X118"/>
  <c r="W119"/>
  <c r="X119"/>
  <c r="W120"/>
  <c r="X120"/>
  <c r="W121"/>
  <c r="X121"/>
  <c r="W122"/>
  <c r="X122"/>
  <c r="W123"/>
  <c r="X123"/>
  <c r="W124"/>
  <c r="X124"/>
  <c r="W125"/>
  <c r="X125"/>
  <c r="W126"/>
  <c r="X126"/>
  <c r="W127"/>
  <c r="X127"/>
  <c r="W128"/>
  <c r="X128"/>
  <c r="W129"/>
  <c r="X129"/>
  <c r="W130"/>
  <c r="X130"/>
  <c r="W131"/>
  <c r="X131"/>
  <c r="W132"/>
  <c r="X132"/>
  <c r="W133"/>
  <c r="X133"/>
  <c r="W134"/>
  <c r="X134"/>
  <c r="W135"/>
  <c r="X135"/>
  <c r="W136"/>
  <c r="X136"/>
  <c r="W137"/>
  <c r="X137"/>
  <c r="W138"/>
  <c r="X138"/>
  <c r="W139"/>
  <c r="X139"/>
  <c r="W140"/>
  <c r="X140"/>
  <c r="W141"/>
  <c r="X141"/>
  <c r="W142"/>
  <c r="X142"/>
  <c r="W143"/>
  <c r="X143"/>
  <c r="W144"/>
  <c r="X144"/>
  <c r="W145"/>
  <c r="X145"/>
  <c r="W146"/>
  <c r="X146"/>
  <c r="W147"/>
  <c r="X147"/>
  <c r="W148"/>
  <c r="X148"/>
  <c r="W149"/>
  <c r="X149"/>
  <c r="W150"/>
  <c r="X150"/>
  <c r="W151"/>
  <c r="X151"/>
  <c r="W152"/>
  <c r="X152"/>
  <c r="W153"/>
  <c r="X153"/>
  <c r="W154"/>
  <c r="X154"/>
  <c r="W155"/>
  <c r="X155"/>
  <c r="W156"/>
  <c r="X156"/>
  <c r="W157"/>
  <c r="X157"/>
  <c r="W158"/>
  <c r="X158"/>
  <c r="W159"/>
  <c r="X159"/>
  <c r="W160"/>
  <c r="X160"/>
  <c r="W161"/>
  <c r="X161"/>
  <c r="W162"/>
  <c r="X162"/>
  <c r="W163"/>
  <c r="X163"/>
  <c r="W164"/>
  <c r="X164"/>
  <c r="W165"/>
  <c r="X165"/>
  <c r="W166"/>
  <c r="X166"/>
  <c r="W167"/>
  <c r="X167"/>
  <c r="W168"/>
  <c r="X168"/>
  <c r="W169"/>
  <c r="X169"/>
  <c r="W170"/>
  <c r="X170"/>
  <c r="W171"/>
  <c r="X171"/>
  <c r="W172"/>
  <c r="X172"/>
  <c r="W173"/>
  <c r="X173"/>
  <c r="W174"/>
  <c r="X174"/>
  <c r="W175"/>
  <c r="X175"/>
  <c r="W176"/>
  <c r="X176"/>
  <c r="W177"/>
  <c r="X177"/>
  <c r="W178"/>
  <c r="X178"/>
  <c r="W179"/>
  <c r="X179"/>
  <c r="W180"/>
  <c r="X180"/>
  <c r="W181"/>
  <c r="X181"/>
  <c r="W182"/>
  <c r="X182"/>
  <c r="W183"/>
  <c r="X183"/>
  <c r="W184"/>
  <c r="X184"/>
  <c r="W185"/>
  <c r="X185"/>
  <c r="W186"/>
  <c r="X186"/>
  <c r="W187"/>
  <c r="X187"/>
  <c r="W188"/>
  <c r="X188"/>
  <c r="W189"/>
  <c r="X189"/>
  <c r="X104"/>
  <c r="W104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N96" i="11"/>
  <c r="Q91"/>
  <c r="M89"/>
  <c r="N85"/>
  <c r="Q77"/>
  <c r="N75"/>
  <c r="S69"/>
  <c r="P53"/>
  <c r="R53" s="1"/>
  <c r="P54"/>
  <c r="R54" s="1"/>
  <c r="P12" i="6"/>
  <c r="P104"/>
  <c r="Q151" i="4"/>
  <c r="R151"/>
  <c r="Q152"/>
  <c r="R152"/>
  <c r="Q153"/>
  <c r="R153"/>
  <c r="Q154"/>
  <c r="R154"/>
  <c r="Q155"/>
  <c r="R155"/>
  <c r="Q156"/>
  <c r="R156"/>
  <c r="Q157"/>
  <c r="R157"/>
  <c r="Q158"/>
  <c r="R158"/>
  <c r="Q159"/>
  <c r="R159"/>
  <c r="Q160"/>
  <c r="R160"/>
  <c r="Q161"/>
  <c r="R161"/>
  <c r="Q162"/>
  <c r="R162"/>
  <c r="Q163"/>
  <c r="R163"/>
  <c r="Q164"/>
  <c r="R164"/>
  <c r="Q165"/>
  <c r="R165"/>
  <c r="Q166"/>
  <c r="R166"/>
  <c r="Q167"/>
  <c r="R167"/>
  <c r="Q168"/>
  <c r="R168"/>
  <c r="Q169"/>
  <c r="R169"/>
  <c r="Q170"/>
  <c r="R170"/>
  <c r="Q171"/>
  <c r="R171"/>
  <c r="Q172"/>
  <c r="R172"/>
  <c r="Q173"/>
  <c r="R173"/>
  <c r="Q174"/>
  <c r="R174"/>
  <c r="Q175"/>
  <c r="R175"/>
  <c r="Q176"/>
  <c r="R176"/>
  <c r="Q177"/>
  <c r="R177"/>
  <c r="Q178"/>
  <c r="R178"/>
  <c r="Q179"/>
  <c r="R179"/>
  <c r="Q180"/>
  <c r="R180"/>
  <c r="Q181"/>
  <c r="R181"/>
  <c r="Q182"/>
  <c r="R182"/>
  <c r="Q183"/>
  <c r="R183"/>
  <c r="Q184"/>
  <c r="R184"/>
  <c r="Q185"/>
  <c r="R185"/>
  <c r="Q186"/>
  <c r="R186"/>
  <c r="Q187"/>
  <c r="R187"/>
  <c r="Q188"/>
  <c r="R188"/>
  <c r="Q189"/>
  <c r="R189"/>
  <c r="Q190"/>
  <c r="R190"/>
  <c r="Q191"/>
  <c r="R191"/>
  <c r="Q192"/>
  <c r="R192"/>
  <c r="Q193"/>
  <c r="R193"/>
  <c r="Q194"/>
  <c r="R194"/>
  <c r="Q195"/>
  <c r="R195"/>
  <c r="Q196"/>
  <c r="R196"/>
  <c r="Q197"/>
  <c r="R197"/>
  <c r="Q198"/>
  <c r="R198"/>
  <c r="Q199"/>
  <c r="R199"/>
  <c r="Q200"/>
  <c r="R200"/>
  <c r="Q201"/>
  <c r="R201"/>
  <c r="Q202"/>
  <c r="R202"/>
  <c r="Q203"/>
  <c r="R203"/>
  <c r="Q204"/>
  <c r="R204"/>
  <c r="Q205"/>
  <c r="R205"/>
  <c r="Q206"/>
  <c r="R206"/>
  <c r="Q207"/>
  <c r="R207"/>
  <c r="Q208"/>
  <c r="R208"/>
  <c r="Q209"/>
  <c r="R209"/>
  <c r="Q210"/>
  <c r="R210"/>
  <c r="Q211"/>
  <c r="R211"/>
  <c r="Q212"/>
  <c r="R212"/>
  <c r="Q213"/>
  <c r="R213"/>
  <c r="Q214"/>
  <c r="R214"/>
  <c r="Q215"/>
  <c r="R215"/>
  <c r="Q216"/>
  <c r="R216"/>
  <c r="Q217"/>
  <c r="R217"/>
  <c r="Q218"/>
  <c r="R218"/>
  <c r="Q219"/>
  <c r="R219"/>
  <c r="Q220"/>
  <c r="R220"/>
  <c r="Q221"/>
  <c r="R221"/>
  <c r="Q222"/>
  <c r="R222"/>
  <c r="Q223"/>
  <c r="R223"/>
  <c r="Q224"/>
  <c r="R224"/>
  <c r="Q225"/>
  <c r="R225"/>
  <c r="Q226"/>
  <c r="R226"/>
  <c r="Q227"/>
  <c r="R227"/>
  <c r="Q228"/>
  <c r="R228"/>
  <c r="Q229"/>
  <c r="R229"/>
  <c r="Q230"/>
  <c r="R230"/>
  <c r="Q231"/>
  <c r="R231"/>
  <c r="Q232"/>
  <c r="R232"/>
  <c r="Q233"/>
  <c r="R233"/>
  <c r="Q234"/>
  <c r="R234"/>
  <c r="Q235"/>
  <c r="R235"/>
  <c r="Q236"/>
  <c r="R236"/>
  <c r="Q237"/>
  <c r="R237"/>
  <c r="Q238"/>
  <c r="R238"/>
  <c r="Q239"/>
  <c r="R239"/>
  <c r="Q240"/>
  <c r="R240"/>
  <c r="Q241"/>
  <c r="R241"/>
  <c r="Q242"/>
  <c r="R242"/>
  <c r="Q243"/>
  <c r="R243"/>
  <c r="Q244"/>
  <c r="R244"/>
  <c r="Q245"/>
  <c r="R245"/>
  <c r="Q246"/>
  <c r="R246"/>
  <c r="Q247"/>
  <c r="R247"/>
  <c r="Q248"/>
  <c r="R248"/>
  <c r="Q249"/>
  <c r="R249"/>
  <c r="Q250"/>
  <c r="R250"/>
  <c r="Q251"/>
  <c r="R251"/>
  <c r="Q252"/>
  <c r="R252"/>
  <c r="Q253"/>
  <c r="R253"/>
  <c r="Q254"/>
  <c r="R254"/>
  <c r="Q255"/>
  <c r="R255"/>
  <c r="Q256"/>
  <c r="R256"/>
  <c r="Q257"/>
  <c r="R257"/>
  <c r="Q258"/>
  <c r="R258"/>
  <c r="Q259"/>
  <c r="R259"/>
  <c r="Q260"/>
  <c r="R260"/>
  <c r="Q261"/>
  <c r="R261"/>
  <c r="Q262"/>
  <c r="R262"/>
  <c r="Q263"/>
  <c r="R263"/>
  <c r="Q264"/>
  <c r="R264"/>
  <c r="Q265"/>
  <c r="R265"/>
  <c r="Q266"/>
  <c r="R266"/>
  <c r="Q267"/>
  <c r="R267"/>
  <c r="Q268"/>
  <c r="R268"/>
  <c r="Q269"/>
  <c r="R269"/>
  <c r="Q270"/>
  <c r="R270"/>
  <c r="Q271"/>
  <c r="R271"/>
  <c r="Q272"/>
  <c r="R272"/>
  <c r="Q273"/>
  <c r="R273"/>
  <c r="Q274"/>
  <c r="R274"/>
  <c r="R150"/>
  <c r="Q150"/>
  <c r="P151" i="8"/>
  <c r="Q151"/>
  <c r="P152"/>
  <c r="Q152"/>
  <c r="P153"/>
  <c r="Q153"/>
  <c r="P154"/>
  <c r="Q154"/>
  <c r="P155"/>
  <c r="Q155"/>
  <c r="P156"/>
  <c r="Q156"/>
  <c r="P157"/>
  <c r="Q157"/>
  <c r="P158"/>
  <c r="Q158"/>
  <c r="P159"/>
  <c r="Q159"/>
  <c r="P160"/>
  <c r="Q160"/>
  <c r="P161"/>
  <c r="Q161"/>
  <c r="P162"/>
  <c r="Q162"/>
  <c r="P163"/>
  <c r="Q163"/>
  <c r="P164"/>
  <c r="Q164"/>
  <c r="P165"/>
  <c r="Q165"/>
  <c r="P166"/>
  <c r="Q166"/>
  <c r="P167"/>
  <c r="Q167"/>
  <c r="P168"/>
  <c r="Q168"/>
  <c r="P169"/>
  <c r="Q169"/>
  <c r="P170"/>
  <c r="Q170"/>
  <c r="P171"/>
  <c r="Q171"/>
  <c r="P172"/>
  <c r="Q172"/>
  <c r="P173"/>
  <c r="Q173"/>
  <c r="P174"/>
  <c r="Q174"/>
  <c r="P175"/>
  <c r="Q175"/>
  <c r="P176"/>
  <c r="Q176"/>
  <c r="P177"/>
  <c r="Q177"/>
  <c r="P178"/>
  <c r="Q178"/>
  <c r="P179"/>
  <c r="Q179"/>
  <c r="P180"/>
  <c r="Q180"/>
  <c r="P181"/>
  <c r="Q181"/>
  <c r="P182"/>
  <c r="Q182"/>
  <c r="P183"/>
  <c r="Q183"/>
  <c r="P184"/>
  <c r="Q184"/>
  <c r="P185"/>
  <c r="Q185"/>
  <c r="P186"/>
  <c r="Q186"/>
  <c r="P187"/>
  <c r="Q187"/>
  <c r="P188"/>
  <c r="Q188"/>
  <c r="P189"/>
  <c r="Q189"/>
  <c r="P190"/>
  <c r="Q190"/>
  <c r="P191"/>
  <c r="Q191"/>
  <c r="P192"/>
  <c r="Q192"/>
  <c r="P193"/>
  <c r="Q193"/>
  <c r="P194"/>
  <c r="Q194"/>
  <c r="P195"/>
  <c r="Q195"/>
  <c r="P196"/>
  <c r="Q196"/>
  <c r="P197"/>
  <c r="Q197"/>
  <c r="P198"/>
  <c r="Q198"/>
  <c r="P199"/>
  <c r="Q199"/>
  <c r="P200"/>
  <c r="Q200"/>
  <c r="P201"/>
  <c r="Q201"/>
  <c r="P202"/>
  <c r="Q202"/>
  <c r="P203"/>
  <c r="Q203"/>
  <c r="P204"/>
  <c r="Q204"/>
  <c r="P205"/>
  <c r="Q205"/>
  <c r="P206"/>
  <c r="Q206"/>
  <c r="P207"/>
  <c r="Q207"/>
  <c r="P208"/>
  <c r="Q208"/>
  <c r="P209"/>
  <c r="Q209"/>
  <c r="P210"/>
  <c r="Q210"/>
  <c r="P211"/>
  <c r="Q211"/>
  <c r="P212"/>
  <c r="Q212"/>
  <c r="P213"/>
  <c r="Q213"/>
  <c r="P214"/>
  <c r="Q214"/>
  <c r="P215"/>
  <c r="Q215"/>
  <c r="P216"/>
  <c r="Q216"/>
  <c r="P217"/>
  <c r="Q217"/>
  <c r="P218"/>
  <c r="Q218"/>
  <c r="P219"/>
  <c r="Q219"/>
  <c r="P220"/>
  <c r="Q220"/>
  <c r="P221"/>
  <c r="Q221"/>
  <c r="P222"/>
  <c r="Q222"/>
  <c r="P223"/>
  <c r="Q223"/>
  <c r="P224"/>
  <c r="Q224"/>
  <c r="P225"/>
  <c r="Q225"/>
  <c r="P226"/>
  <c r="Q226"/>
  <c r="P227"/>
  <c r="Q227"/>
  <c r="P228"/>
  <c r="Q228"/>
  <c r="P229"/>
  <c r="Q229"/>
  <c r="P230"/>
  <c r="Q230"/>
  <c r="P231"/>
  <c r="Q231"/>
  <c r="P232"/>
  <c r="Q232"/>
  <c r="P233"/>
  <c r="Q233"/>
  <c r="P234"/>
  <c r="Q234"/>
  <c r="P235"/>
  <c r="Q235"/>
  <c r="P236"/>
  <c r="Q236"/>
  <c r="P237"/>
  <c r="Q237"/>
  <c r="P238"/>
  <c r="Q238"/>
  <c r="P239"/>
  <c r="Q239"/>
  <c r="P240"/>
  <c r="Q240"/>
  <c r="P241"/>
  <c r="Q241"/>
  <c r="P242"/>
  <c r="Q242"/>
  <c r="P243"/>
  <c r="Q243"/>
  <c r="P244"/>
  <c r="Q244"/>
  <c r="P245"/>
  <c r="Q245"/>
  <c r="P246"/>
  <c r="Q246"/>
  <c r="P247"/>
  <c r="Q247"/>
  <c r="P248"/>
  <c r="Q248"/>
  <c r="P249"/>
  <c r="Q249"/>
  <c r="P250"/>
  <c r="Q250"/>
  <c r="P251"/>
  <c r="Q251"/>
  <c r="P252"/>
  <c r="Q252"/>
  <c r="P253"/>
  <c r="Q253"/>
  <c r="P254"/>
  <c r="Q254"/>
  <c r="P255"/>
  <c r="Q255"/>
  <c r="P256"/>
  <c r="Q256"/>
  <c r="P257"/>
  <c r="Q257"/>
  <c r="P258"/>
  <c r="Q258"/>
  <c r="P259"/>
  <c r="Q259"/>
  <c r="P260"/>
  <c r="Q260"/>
  <c r="P261"/>
  <c r="Q261"/>
  <c r="P262"/>
  <c r="Q262"/>
  <c r="P263"/>
  <c r="Q263"/>
  <c r="P264"/>
  <c r="Q264"/>
  <c r="P265"/>
  <c r="Q265"/>
  <c r="P266"/>
  <c r="Q266"/>
  <c r="P267"/>
  <c r="Q267"/>
  <c r="P268"/>
  <c r="Q268"/>
  <c r="P269"/>
  <c r="Q269"/>
  <c r="P270"/>
  <c r="Q270"/>
  <c r="P271"/>
  <c r="Q271"/>
  <c r="P272"/>
  <c r="Q272"/>
  <c r="P273"/>
  <c r="Q273"/>
  <c r="P274"/>
  <c r="Q274"/>
  <c r="Q150"/>
  <c r="P150"/>
  <c r="Q105" i="5"/>
  <c r="R105"/>
  <c r="Q106"/>
  <c r="R106"/>
  <c r="Q107"/>
  <c r="R107"/>
  <c r="Q108"/>
  <c r="R108"/>
  <c r="Q109"/>
  <c r="R109"/>
  <c r="Q110"/>
  <c r="R110"/>
  <c r="Q111"/>
  <c r="R111"/>
  <c r="Q112"/>
  <c r="R112"/>
  <c r="Q113"/>
  <c r="R113"/>
  <c r="Q114"/>
  <c r="R114"/>
  <c r="Q115"/>
  <c r="R115"/>
  <c r="Q116"/>
  <c r="R116"/>
  <c r="Q117"/>
  <c r="R117"/>
  <c r="Q118"/>
  <c r="R118"/>
  <c r="Q119"/>
  <c r="R119"/>
  <c r="Q120"/>
  <c r="R120"/>
  <c r="Q121"/>
  <c r="R121"/>
  <c r="Q122"/>
  <c r="R122"/>
  <c r="Q123"/>
  <c r="R123"/>
  <c r="Q124"/>
  <c r="R124"/>
  <c r="Q125"/>
  <c r="R125"/>
  <c r="Q126"/>
  <c r="R126"/>
  <c r="Q127"/>
  <c r="R127"/>
  <c r="Q128"/>
  <c r="R128"/>
  <c r="Q129"/>
  <c r="R129"/>
  <c r="Q130"/>
  <c r="R130"/>
  <c r="Q131"/>
  <c r="R131"/>
  <c r="Q132"/>
  <c r="R132"/>
  <c r="Q133"/>
  <c r="R133"/>
  <c r="Q134"/>
  <c r="R134"/>
  <c r="Q135"/>
  <c r="R135"/>
  <c r="Q136"/>
  <c r="R136"/>
  <c r="Q137"/>
  <c r="R137"/>
  <c r="Q138"/>
  <c r="R138"/>
  <c r="Q139"/>
  <c r="R139"/>
  <c r="Q140"/>
  <c r="R140"/>
  <c r="Q141"/>
  <c r="R141"/>
  <c r="Q142"/>
  <c r="R142"/>
  <c r="Q143"/>
  <c r="R143"/>
  <c r="Q144"/>
  <c r="R144"/>
  <c r="Q145"/>
  <c r="R145"/>
  <c r="Q146"/>
  <c r="R146"/>
  <c r="Q147"/>
  <c r="R147"/>
  <c r="Q148"/>
  <c r="R148"/>
  <c r="Q149"/>
  <c r="R149"/>
  <c r="Q150"/>
  <c r="R150"/>
  <c r="Q151"/>
  <c r="R151"/>
  <c r="Q152"/>
  <c r="R152"/>
  <c r="Q153"/>
  <c r="R153"/>
  <c r="Q154"/>
  <c r="R154"/>
  <c r="Q155"/>
  <c r="R155"/>
  <c r="Q156"/>
  <c r="R156"/>
  <c r="Q157"/>
  <c r="R157"/>
  <c r="Q158"/>
  <c r="R158"/>
  <c r="Q159"/>
  <c r="R159"/>
  <c r="Q160"/>
  <c r="R160"/>
  <c r="Q161"/>
  <c r="R161"/>
  <c r="Q162"/>
  <c r="R162"/>
  <c r="Q163"/>
  <c r="R163"/>
  <c r="Q164"/>
  <c r="R164"/>
  <c r="Q165"/>
  <c r="R165"/>
  <c r="Q166"/>
  <c r="R166"/>
  <c r="Q167"/>
  <c r="R167"/>
  <c r="Q168"/>
  <c r="R168"/>
  <c r="Q169"/>
  <c r="R169"/>
  <c r="Q170"/>
  <c r="R170"/>
  <c r="Q171"/>
  <c r="R171"/>
  <c r="Q172"/>
  <c r="R172"/>
  <c r="Q173"/>
  <c r="R173"/>
  <c r="Q174"/>
  <c r="R174"/>
  <c r="Q175"/>
  <c r="R175"/>
  <c r="Q176"/>
  <c r="R176"/>
  <c r="Q177"/>
  <c r="R177"/>
  <c r="Q178"/>
  <c r="R178"/>
  <c r="Q179"/>
  <c r="R179"/>
  <c r="Q180"/>
  <c r="R180"/>
  <c r="Q181"/>
  <c r="R181"/>
  <c r="Q182"/>
  <c r="R182"/>
  <c r="Q183"/>
  <c r="R183"/>
  <c r="Q184"/>
  <c r="R184"/>
  <c r="Q185"/>
  <c r="R185"/>
  <c r="Q186"/>
  <c r="R186"/>
  <c r="Q187"/>
  <c r="R187"/>
  <c r="Q188"/>
  <c r="R188"/>
  <c r="Q189"/>
  <c r="R189"/>
  <c r="Q190"/>
  <c r="R190"/>
  <c r="Q191"/>
  <c r="R191"/>
  <c r="Q192"/>
  <c r="R192"/>
  <c r="Q193"/>
  <c r="R193"/>
  <c r="Q194"/>
  <c r="R194"/>
  <c r="Q195"/>
  <c r="R195"/>
  <c r="Q196"/>
  <c r="R196"/>
  <c r="Q197"/>
  <c r="R197"/>
  <c r="Q198"/>
  <c r="R198"/>
  <c r="Q199"/>
  <c r="R199"/>
  <c r="Q200"/>
  <c r="R200"/>
  <c r="Q201"/>
  <c r="R201"/>
  <c r="Q202"/>
  <c r="R202"/>
  <c r="Q203"/>
  <c r="R203"/>
  <c r="Q204"/>
  <c r="R204"/>
  <c r="Q205"/>
  <c r="R205"/>
  <c r="Q206"/>
  <c r="R206"/>
  <c r="Q207"/>
  <c r="R207"/>
  <c r="Q208"/>
  <c r="R208"/>
  <c r="Q209"/>
  <c r="R209"/>
  <c r="Q210"/>
  <c r="R210"/>
  <c r="Q211"/>
  <c r="R211"/>
  <c r="Q212"/>
  <c r="R212"/>
  <c r="Q213"/>
  <c r="R213"/>
  <c r="Q214"/>
  <c r="R214"/>
  <c r="Q215"/>
  <c r="R215"/>
  <c r="Q216"/>
  <c r="R216"/>
  <c r="Q217"/>
  <c r="R217"/>
  <c r="Q218"/>
  <c r="R218"/>
  <c r="Q219"/>
  <c r="R219"/>
  <c r="Q220"/>
  <c r="R220"/>
  <c r="Q221"/>
  <c r="R221"/>
  <c r="Q222"/>
  <c r="R222"/>
  <c r="Q223"/>
  <c r="R223"/>
  <c r="Q224"/>
  <c r="R224"/>
  <c r="Q225"/>
  <c r="R225"/>
  <c r="Q226"/>
  <c r="R226"/>
  <c r="Q227"/>
  <c r="R227"/>
  <c r="Q228"/>
  <c r="R228"/>
  <c r="Q229"/>
  <c r="R229"/>
  <c r="Q230"/>
  <c r="R230"/>
  <c r="Q231"/>
  <c r="R231"/>
  <c r="Q232"/>
  <c r="R232"/>
  <c r="Q233"/>
  <c r="R233"/>
  <c r="Q234"/>
  <c r="R234"/>
  <c r="Q235"/>
  <c r="R235"/>
  <c r="Q236"/>
  <c r="R236"/>
  <c r="Q237"/>
  <c r="R237"/>
  <c r="Q238"/>
  <c r="R238"/>
  <c r="Q239"/>
  <c r="R239"/>
  <c r="Q240"/>
  <c r="R240"/>
  <c r="Q241"/>
  <c r="R241"/>
  <c r="Q242"/>
  <c r="R242"/>
  <c r="Q243"/>
  <c r="R243"/>
  <c r="Q244"/>
  <c r="R244"/>
  <c r="Q245"/>
  <c r="R245"/>
  <c r="Q246"/>
  <c r="R246"/>
  <c r="Q247"/>
  <c r="R247"/>
  <c r="Q248"/>
  <c r="R248"/>
  <c r="Q249"/>
  <c r="R249"/>
  <c r="Q250"/>
  <c r="R250"/>
  <c r="Q251"/>
  <c r="R251"/>
  <c r="Q252"/>
  <c r="R252"/>
  <c r="Q253"/>
  <c r="R253"/>
  <c r="Q254"/>
  <c r="R254"/>
  <c r="Q255"/>
  <c r="R255"/>
  <c r="Q256"/>
  <c r="R256"/>
  <c r="Q257"/>
  <c r="R257"/>
  <c r="Q258"/>
  <c r="R258"/>
  <c r="Q259"/>
  <c r="R259"/>
  <c r="Q260"/>
  <c r="R260"/>
  <c r="Q261"/>
  <c r="R261"/>
  <c r="Q262"/>
  <c r="R262"/>
  <c r="Q263"/>
  <c r="R263"/>
  <c r="Q264"/>
  <c r="R264"/>
  <c r="Q265"/>
  <c r="R265"/>
  <c r="Q266"/>
  <c r="R266"/>
  <c r="Q267"/>
  <c r="R267"/>
  <c r="Q268"/>
  <c r="R268"/>
  <c r="Q269"/>
  <c r="R269"/>
  <c r="Q270"/>
  <c r="R270"/>
  <c r="Q271"/>
  <c r="R271"/>
  <c r="Q272"/>
  <c r="R272"/>
  <c r="Q273"/>
  <c r="R273"/>
  <c r="Q274"/>
  <c r="R274"/>
  <c r="R104"/>
  <c r="Q104"/>
  <c r="P105" i="10"/>
  <c r="Q105"/>
  <c r="R105"/>
  <c r="P106"/>
  <c r="Q106"/>
  <c r="R106"/>
  <c r="P107"/>
  <c r="Q107"/>
  <c r="R107"/>
  <c r="P108"/>
  <c r="Q108"/>
  <c r="R108"/>
  <c r="P109"/>
  <c r="Q109"/>
  <c r="R109"/>
  <c r="P110"/>
  <c r="Q110"/>
  <c r="R110"/>
  <c r="P111"/>
  <c r="Q111"/>
  <c r="R111"/>
  <c r="P112"/>
  <c r="Q112"/>
  <c r="R112"/>
  <c r="P113"/>
  <c r="Q113"/>
  <c r="R113"/>
  <c r="P114"/>
  <c r="Q114"/>
  <c r="R114"/>
  <c r="P115"/>
  <c r="Q115"/>
  <c r="R115"/>
  <c r="P116"/>
  <c r="Q116"/>
  <c r="R116"/>
  <c r="P117"/>
  <c r="Q117"/>
  <c r="R117"/>
  <c r="P118"/>
  <c r="Q118"/>
  <c r="R118"/>
  <c r="P119"/>
  <c r="Q119"/>
  <c r="R119"/>
  <c r="P120"/>
  <c r="Q120"/>
  <c r="R120"/>
  <c r="P121"/>
  <c r="Q121"/>
  <c r="R121"/>
  <c r="P122"/>
  <c r="Q122"/>
  <c r="R122"/>
  <c r="P123"/>
  <c r="Q123"/>
  <c r="R123"/>
  <c r="P124"/>
  <c r="Q124"/>
  <c r="R124"/>
  <c r="P125"/>
  <c r="Q125"/>
  <c r="R125"/>
  <c r="P126"/>
  <c r="Q126"/>
  <c r="R126"/>
  <c r="P127"/>
  <c r="Q127"/>
  <c r="R127"/>
  <c r="P128"/>
  <c r="Q128"/>
  <c r="R128"/>
  <c r="P129"/>
  <c r="Q129"/>
  <c r="R129"/>
  <c r="P130"/>
  <c r="Q130"/>
  <c r="R130"/>
  <c r="P131"/>
  <c r="Q131"/>
  <c r="R131"/>
  <c r="P132"/>
  <c r="Q132"/>
  <c r="R132"/>
  <c r="P133"/>
  <c r="Q133"/>
  <c r="R133"/>
  <c r="P134"/>
  <c r="Q134"/>
  <c r="R134"/>
  <c r="P135"/>
  <c r="Q135"/>
  <c r="R135"/>
  <c r="P136"/>
  <c r="Q136"/>
  <c r="R136"/>
  <c r="P137"/>
  <c r="Q137"/>
  <c r="R137"/>
  <c r="P138"/>
  <c r="Q138"/>
  <c r="R138"/>
  <c r="P139"/>
  <c r="Q139"/>
  <c r="R139"/>
  <c r="P140"/>
  <c r="Q140"/>
  <c r="R140"/>
  <c r="P141"/>
  <c r="Q141"/>
  <c r="R141"/>
  <c r="P142"/>
  <c r="Q142"/>
  <c r="R142"/>
  <c r="P143"/>
  <c r="Q143"/>
  <c r="R143"/>
  <c r="P144"/>
  <c r="Q144"/>
  <c r="R144"/>
  <c r="P145"/>
  <c r="Q145"/>
  <c r="R145"/>
  <c r="P146"/>
  <c r="Q146"/>
  <c r="R146"/>
  <c r="P147"/>
  <c r="Q147"/>
  <c r="R147"/>
  <c r="P148"/>
  <c r="Q148"/>
  <c r="R148"/>
  <c r="P149"/>
  <c r="Q149"/>
  <c r="R149"/>
  <c r="P150"/>
  <c r="Q150"/>
  <c r="R150"/>
  <c r="P151"/>
  <c r="Q151"/>
  <c r="R151"/>
  <c r="P152"/>
  <c r="Q152"/>
  <c r="R152"/>
  <c r="P153"/>
  <c r="Q153"/>
  <c r="R153"/>
  <c r="P154"/>
  <c r="Q154"/>
  <c r="R154"/>
  <c r="P155"/>
  <c r="Q155"/>
  <c r="R155"/>
  <c r="P156"/>
  <c r="Q156"/>
  <c r="R156"/>
  <c r="P157"/>
  <c r="Q157"/>
  <c r="R157"/>
  <c r="P158"/>
  <c r="Q158"/>
  <c r="R158"/>
  <c r="P159"/>
  <c r="Q159"/>
  <c r="R159"/>
  <c r="P160"/>
  <c r="Q160"/>
  <c r="R160"/>
  <c r="P161"/>
  <c r="Q161"/>
  <c r="R161"/>
  <c r="P162"/>
  <c r="Q162"/>
  <c r="R162"/>
  <c r="P163"/>
  <c r="Q163"/>
  <c r="R163"/>
  <c r="P164"/>
  <c r="Q164"/>
  <c r="R164"/>
  <c r="P165"/>
  <c r="Q165"/>
  <c r="R165"/>
  <c r="P166"/>
  <c r="Q166"/>
  <c r="R166"/>
  <c r="P167"/>
  <c r="Q167"/>
  <c r="R167"/>
  <c r="P168"/>
  <c r="Q168"/>
  <c r="R168"/>
  <c r="P169"/>
  <c r="Q169"/>
  <c r="R169"/>
  <c r="P170"/>
  <c r="Q170"/>
  <c r="R170"/>
  <c r="P171"/>
  <c r="Q171"/>
  <c r="R171"/>
  <c r="P172"/>
  <c r="Q172"/>
  <c r="R172"/>
  <c r="P173"/>
  <c r="Q173"/>
  <c r="R173"/>
  <c r="P174"/>
  <c r="Q174"/>
  <c r="R174"/>
  <c r="P175"/>
  <c r="Q175"/>
  <c r="R175"/>
  <c r="P176"/>
  <c r="Q176"/>
  <c r="R176"/>
  <c r="P177"/>
  <c r="Q177"/>
  <c r="R177"/>
  <c r="P178"/>
  <c r="Q178"/>
  <c r="R178"/>
  <c r="P179"/>
  <c r="Q179"/>
  <c r="R179"/>
  <c r="P180"/>
  <c r="Q180"/>
  <c r="R180"/>
  <c r="P181"/>
  <c r="Q181"/>
  <c r="R181"/>
  <c r="P182"/>
  <c r="Q182"/>
  <c r="R182"/>
  <c r="P183"/>
  <c r="Q183"/>
  <c r="R183"/>
  <c r="P184"/>
  <c r="Q184"/>
  <c r="R184"/>
  <c r="P185"/>
  <c r="Q185"/>
  <c r="R185"/>
  <c r="P186"/>
  <c r="Q186"/>
  <c r="R186"/>
  <c r="P187"/>
  <c r="Q187"/>
  <c r="R187"/>
  <c r="P188"/>
  <c r="Q188"/>
  <c r="R188"/>
  <c r="P189"/>
  <c r="Q189"/>
  <c r="R189"/>
  <c r="P190"/>
  <c r="Q190"/>
  <c r="R190"/>
  <c r="P191"/>
  <c r="Q191"/>
  <c r="R191"/>
  <c r="P192"/>
  <c r="Q192"/>
  <c r="R192"/>
  <c r="P193"/>
  <c r="Q193"/>
  <c r="R193"/>
  <c r="P194"/>
  <c r="Q194"/>
  <c r="R194"/>
  <c r="P195"/>
  <c r="Q195"/>
  <c r="R195"/>
  <c r="P196"/>
  <c r="Q196"/>
  <c r="R196"/>
  <c r="P197"/>
  <c r="Q197"/>
  <c r="R197"/>
  <c r="P198"/>
  <c r="Q198"/>
  <c r="R198"/>
  <c r="P199"/>
  <c r="Q199"/>
  <c r="R199"/>
  <c r="P200"/>
  <c r="Q200"/>
  <c r="R200"/>
  <c r="P201"/>
  <c r="Q201"/>
  <c r="R201"/>
  <c r="P202"/>
  <c r="Q202"/>
  <c r="R202"/>
  <c r="P203"/>
  <c r="Q203"/>
  <c r="R203"/>
  <c r="P204"/>
  <c r="Q204"/>
  <c r="R204"/>
  <c r="P205"/>
  <c r="Q205"/>
  <c r="R205"/>
  <c r="P206"/>
  <c r="Q206"/>
  <c r="R206"/>
  <c r="P207"/>
  <c r="Q207"/>
  <c r="R207"/>
  <c r="P208"/>
  <c r="Q208"/>
  <c r="R208"/>
  <c r="P209"/>
  <c r="Q209"/>
  <c r="R209"/>
  <c r="P210"/>
  <c r="Q210"/>
  <c r="R210"/>
  <c r="P211"/>
  <c r="Q211"/>
  <c r="R211"/>
  <c r="P212"/>
  <c r="Q212"/>
  <c r="R212"/>
  <c r="P213"/>
  <c r="Q213"/>
  <c r="R213"/>
  <c r="P214"/>
  <c r="Q214"/>
  <c r="R214"/>
  <c r="P215"/>
  <c r="Q215"/>
  <c r="R215"/>
  <c r="P216"/>
  <c r="Q216"/>
  <c r="R216"/>
  <c r="P217"/>
  <c r="Q217"/>
  <c r="R217"/>
  <c r="P218"/>
  <c r="Q218"/>
  <c r="R218"/>
  <c r="P219"/>
  <c r="Q219"/>
  <c r="R219"/>
  <c r="P220"/>
  <c r="Q220"/>
  <c r="R220"/>
  <c r="P221"/>
  <c r="Q221"/>
  <c r="R221"/>
  <c r="P222"/>
  <c r="Q222"/>
  <c r="R222"/>
  <c r="P223"/>
  <c r="Q223"/>
  <c r="R223"/>
  <c r="P224"/>
  <c r="Q224"/>
  <c r="R224"/>
  <c r="P225"/>
  <c r="Q225"/>
  <c r="R225"/>
  <c r="P226"/>
  <c r="Q226"/>
  <c r="R226"/>
  <c r="P227"/>
  <c r="Q227"/>
  <c r="R227"/>
  <c r="P228"/>
  <c r="Q228"/>
  <c r="R228"/>
  <c r="P229"/>
  <c r="Q229"/>
  <c r="R229"/>
  <c r="P230"/>
  <c r="Q230"/>
  <c r="R230"/>
  <c r="P231"/>
  <c r="Q231"/>
  <c r="R231"/>
  <c r="P232"/>
  <c r="Q232"/>
  <c r="R232"/>
  <c r="P233"/>
  <c r="Q233"/>
  <c r="R233"/>
  <c r="P234"/>
  <c r="Q234"/>
  <c r="R234"/>
  <c r="P235"/>
  <c r="Q235"/>
  <c r="R235"/>
  <c r="P236"/>
  <c r="Q236"/>
  <c r="R236"/>
  <c r="P237"/>
  <c r="Q237"/>
  <c r="R237"/>
  <c r="P238"/>
  <c r="Q238"/>
  <c r="R238"/>
  <c r="P239"/>
  <c r="Q239"/>
  <c r="R239"/>
  <c r="P240"/>
  <c r="Q240"/>
  <c r="R240"/>
  <c r="P241"/>
  <c r="Q241"/>
  <c r="R241"/>
  <c r="P242"/>
  <c r="Q242"/>
  <c r="R242"/>
  <c r="P243"/>
  <c r="Q243"/>
  <c r="R243"/>
  <c r="P244"/>
  <c r="Q244"/>
  <c r="R244"/>
  <c r="P245"/>
  <c r="Q245"/>
  <c r="R245"/>
  <c r="P246"/>
  <c r="Q246"/>
  <c r="R246"/>
  <c r="P247"/>
  <c r="Q247"/>
  <c r="R247"/>
  <c r="P248"/>
  <c r="Q248"/>
  <c r="R248"/>
  <c r="P249"/>
  <c r="Q249"/>
  <c r="R249"/>
  <c r="P250"/>
  <c r="Q250"/>
  <c r="R250"/>
  <c r="P251"/>
  <c r="Q251"/>
  <c r="R251"/>
  <c r="P252"/>
  <c r="Q252"/>
  <c r="R252"/>
  <c r="P253"/>
  <c r="Q253"/>
  <c r="R253"/>
  <c r="P254"/>
  <c r="Q254"/>
  <c r="R254"/>
  <c r="P255"/>
  <c r="Q255"/>
  <c r="R255"/>
  <c r="P256"/>
  <c r="Q256"/>
  <c r="R256"/>
  <c r="P257"/>
  <c r="Q257"/>
  <c r="R257"/>
  <c r="P258"/>
  <c r="Q258"/>
  <c r="R258"/>
  <c r="P259"/>
  <c r="Q259"/>
  <c r="R259"/>
  <c r="P260"/>
  <c r="Q260"/>
  <c r="R260"/>
  <c r="P261"/>
  <c r="Q261"/>
  <c r="R261"/>
  <c r="P262"/>
  <c r="Q262"/>
  <c r="R262"/>
  <c r="P263"/>
  <c r="Q263"/>
  <c r="R263"/>
  <c r="P264"/>
  <c r="Q264"/>
  <c r="R264"/>
  <c r="P265"/>
  <c r="Q265"/>
  <c r="R265"/>
  <c r="P266"/>
  <c r="Q266"/>
  <c r="R266"/>
  <c r="P267"/>
  <c r="Q267"/>
  <c r="R267"/>
  <c r="P268"/>
  <c r="Q268"/>
  <c r="R268"/>
  <c r="P269"/>
  <c r="Q269"/>
  <c r="R269"/>
  <c r="P270"/>
  <c r="Q270"/>
  <c r="R270"/>
  <c r="P271"/>
  <c r="Q271"/>
  <c r="R271"/>
  <c r="P272"/>
  <c r="Q272"/>
  <c r="R272"/>
  <c r="P273"/>
  <c r="Q273"/>
  <c r="R273"/>
  <c r="P274"/>
  <c r="Q274"/>
  <c r="R274"/>
  <c r="R104"/>
  <c r="Q104"/>
  <c r="P104"/>
  <c r="P105" i="6"/>
  <c r="Q105"/>
  <c r="P106"/>
  <c r="Q106"/>
  <c r="P107"/>
  <c r="Q107"/>
  <c r="P108"/>
  <c r="Q108"/>
  <c r="P109"/>
  <c r="Q109"/>
  <c r="P110"/>
  <c r="Q110"/>
  <c r="P111"/>
  <c r="Q111"/>
  <c r="P112"/>
  <c r="Q112"/>
  <c r="P113"/>
  <c r="Q113"/>
  <c r="P114"/>
  <c r="Q114"/>
  <c r="P115"/>
  <c r="Q115"/>
  <c r="P116"/>
  <c r="Q116"/>
  <c r="P117"/>
  <c r="Q117"/>
  <c r="P118"/>
  <c r="Q118"/>
  <c r="P119"/>
  <c r="Q119"/>
  <c r="P120"/>
  <c r="Q120"/>
  <c r="P121"/>
  <c r="Q121"/>
  <c r="P122"/>
  <c r="Q122"/>
  <c r="P123"/>
  <c r="Q123"/>
  <c r="P124"/>
  <c r="Q124"/>
  <c r="P125"/>
  <c r="Q125"/>
  <c r="P126"/>
  <c r="Q126"/>
  <c r="P127"/>
  <c r="Q127"/>
  <c r="P128"/>
  <c r="Q128"/>
  <c r="P129"/>
  <c r="Q129"/>
  <c r="P130"/>
  <c r="Q130"/>
  <c r="P131"/>
  <c r="Q131"/>
  <c r="P132"/>
  <c r="Q132"/>
  <c r="P133"/>
  <c r="Q133"/>
  <c r="P134"/>
  <c r="Q134"/>
  <c r="P135"/>
  <c r="Q135"/>
  <c r="P136"/>
  <c r="Q136"/>
  <c r="P137"/>
  <c r="Q137"/>
  <c r="P138"/>
  <c r="Q138"/>
  <c r="P139"/>
  <c r="Q139"/>
  <c r="P140"/>
  <c r="Q140"/>
  <c r="P141"/>
  <c r="Q141"/>
  <c r="P142"/>
  <c r="Q142"/>
  <c r="P143"/>
  <c r="Q143"/>
  <c r="P144"/>
  <c r="Q144"/>
  <c r="P145"/>
  <c r="Q145"/>
  <c r="P146"/>
  <c r="Q146"/>
  <c r="P147"/>
  <c r="Q147"/>
  <c r="P148"/>
  <c r="Q148"/>
  <c r="P149"/>
  <c r="Q149"/>
  <c r="P150"/>
  <c r="Q150"/>
  <c r="P151"/>
  <c r="Q151"/>
  <c r="P152"/>
  <c r="Q152"/>
  <c r="P153"/>
  <c r="Q153"/>
  <c r="P154"/>
  <c r="Q154"/>
  <c r="P155"/>
  <c r="Q155"/>
  <c r="P156"/>
  <c r="Q156"/>
  <c r="P157"/>
  <c r="Q157"/>
  <c r="P158"/>
  <c r="Q158"/>
  <c r="P159"/>
  <c r="Q159"/>
  <c r="P160"/>
  <c r="Q160"/>
  <c r="P161"/>
  <c r="Q161"/>
  <c r="P162"/>
  <c r="Q162"/>
  <c r="P163"/>
  <c r="Q163"/>
  <c r="P164"/>
  <c r="Q164"/>
  <c r="P165"/>
  <c r="Q165"/>
  <c r="P166"/>
  <c r="Q166"/>
  <c r="P167"/>
  <c r="Q167"/>
  <c r="P168"/>
  <c r="Q168"/>
  <c r="P169"/>
  <c r="Q169"/>
  <c r="P170"/>
  <c r="Q170"/>
  <c r="P171"/>
  <c r="Q171"/>
  <c r="P172"/>
  <c r="Q172"/>
  <c r="P173"/>
  <c r="Q173"/>
  <c r="P174"/>
  <c r="Q174"/>
  <c r="P175"/>
  <c r="Q175"/>
  <c r="P176"/>
  <c r="Q176"/>
  <c r="P177"/>
  <c r="Q177"/>
  <c r="P178"/>
  <c r="Q178"/>
  <c r="P179"/>
  <c r="Q179"/>
  <c r="P180"/>
  <c r="Q180"/>
  <c r="P181"/>
  <c r="Q181"/>
  <c r="P182"/>
  <c r="Q182"/>
  <c r="P183"/>
  <c r="Q183"/>
  <c r="P184"/>
  <c r="Q184"/>
  <c r="P185"/>
  <c r="Q185"/>
  <c r="P186"/>
  <c r="Q186"/>
  <c r="P187"/>
  <c r="Q187"/>
  <c r="P188"/>
  <c r="Q188"/>
  <c r="P189"/>
  <c r="Q189"/>
  <c r="P190"/>
  <c r="Q190"/>
  <c r="P191"/>
  <c r="Q191"/>
  <c r="P192"/>
  <c r="Q192"/>
  <c r="P193"/>
  <c r="Q193"/>
  <c r="P194"/>
  <c r="Q194"/>
  <c r="P195"/>
  <c r="Q195"/>
  <c r="P196"/>
  <c r="Q196"/>
  <c r="P197"/>
  <c r="Q197"/>
  <c r="P198"/>
  <c r="Q198"/>
  <c r="P199"/>
  <c r="Q199"/>
  <c r="P200"/>
  <c r="Q200"/>
  <c r="P201"/>
  <c r="Q201"/>
  <c r="P202"/>
  <c r="Q202"/>
  <c r="P203"/>
  <c r="Q203"/>
  <c r="P204"/>
  <c r="Q204"/>
  <c r="P205"/>
  <c r="Q205"/>
  <c r="P206"/>
  <c r="Q206"/>
  <c r="P207"/>
  <c r="Q207"/>
  <c r="P208"/>
  <c r="Q208"/>
  <c r="P209"/>
  <c r="Q209"/>
  <c r="P210"/>
  <c r="Q210"/>
  <c r="P211"/>
  <c r="Q211"/>
  <c r="P212"/>
  <c r="Q212"/>
  <c r="P213"/>
  <c r="Q213"/>
  <c r="P214"/>
  <c r="Q214"/>
  <c r="P215"/>
  <c r="Q215"/>
  <c r="P216"/>
  <c r="Q216"/>
  <c r="P217"/>
  <c r="Q217"/>
  <c r="P218"/>
  <c r="Q218"/>
  <c r="P219"/>
  <c r="Q219"/>
  <c r="P220"/>
  <c r="Q220"/>
  <c r="P221"/>
  <c r="Q221"/>
  <c r="P222"/>
  <c r="Q222"/>
  <c r="P223"/>
  <c r="Q223"/>
  <c r="P224"/>
  <c r="Q224"/>
  <c r="P225"/>
  <c r="Q225"/>
  <c r="P226"/>
  <c r="Q226"/>
  <c r="P227"/>
  <c r="Q227"/>
  <c r="P228"/>
  <c r="Q228"/>
  <c r="P229"/>
  <c r="Q229"/>
  <c r="P230"/>
  <c r="Q230"/>
  <c r="P231"/>
  <c r="Q231"/>
  <c r="P232"/>
  <c r="Q232"/>
  <c r="P233"/>
  <c r="Q233"/>
  <c r="P234"/>
  <c r="Q234"/>
  <c r="P235"/>
  <c r="Q235"/>
  <c r="P236"/>
  <c r="Q236"/>
  <c r="P237"/>
  <c r="Q237"/>
  <c r="P238"/>
  <c r="Q238"/>
  <c r="P239"/>
  <c r="Q239"/>
  <c r="P240"/>
  <c r="Q240"/>
  <c r="P241"/>
  <c r="Q241"/>
  <c r="P242"/>
  <c r="Q242"/>
  <c r="P243"/>
  <c r="Q243"/>
  <c r="P244"/>
  <c r="Q244"/>
  <c r="P245"/>
  <c r="Q245"/>
  <c r="P246"/>
  <c r="Q246"/>
  <c r="P247"/>
  <c r="Q247"/>
  <c r="P248"/>
  <c r="Q248"/>
  <c r="P249"/>
  <c r="Q249"/>
  <c r="P250"/>
  <c r="Q250"/>
  <c r="P251"/>
  <c r="Q251"/>
  <c r="P252"/>
  <c r="Q252"/>
  <c r="P253"/>
  <c r="Q253"/>
  <c r="P254"/>
  <c r="Q254"/>
  <c r="P255"/>
  <c r="Q255"/>
  <c r="P256"/>
  <c r="Q256"/>
  <c r="P257"/>
  <c r="Q257"/>
  <c r="P258"/>
  <c r="Q258"/>
  <c r="P259"/>
  <c r="Q259"/>
  <c r="P260"/>
  <c r="Q260"/>
  <c r="P261"/>
  <c r="Q261"/>
  <c r="P262"/>
  <c r="Q262"/>
  <c r="P263"/>
  <c r="Q263"/>
  <c r="P264"/>
  <c r="Q264"/>
  <c r="P265"/>
  <c r="Q265"/>
  <c r="P266"/>
  <c r="Q266"/>
  <c r="P267"/>
  <c r="Q267"/>
  <c r="P268"/>
  <c r="Q268"/>
  <c r="P269"/>
  <c r="Q269"/>
  <c r="P270"/>
  <c r="Q270"/>
  <c r="P271"/>
  <c r="Q271"/>
  <c r="P272"/>
  <c r="Q272"/>
  <c r="P273"/>
  <c r="Q273"/>
  <c r="P274"/>
  <c r="Q274"/>
  <c r="Q104"/>
  <c r="L230" i="1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K189"/>
  <c r="K177"/>
  <c r="F165"/>
  <c r="K152"/>
  <c r="K150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K144"/>
  <c r="K133"/>
  <c r="K128"/>
  <c r="K120"/>
  <c r="K112"/>
  <c r="F111"/>
  <c r="K230" l="1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8"/>
  <c r="K187"/>
  <c r="K186"/>
  <c r="K185"/>
  <c r="K184"/>
  <c r="K183"/>
  <c r="K182"/>
  <c r="K181"/>
  <c r="K180"/>
  <c r="K179"/>
  <c r="K178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1"/>
  <c r="K149"/>
  <c r="K148"/>
  <c r="K147"/>
  <c r="K146"/>
  <c r="K145"/>
  <c r="K143"/>
  <c r="K142"/>
  <c r="K141"/>
  <c r="K140"/>
  <c r="K139"/>
  <c r="K138"/>
  <c r="K137"/>
  <c r="K136"/>
  <c r="K135"/>
  <c r="K134"/>
  <c r="K132"/>
  <c r="K131"/>
  <c r="K130"/>
  <c r="K129"/>
  <c r="K127"/>
  <c r="K126"/>
  <c r="K125"/>
  <c r="K124"/>
  <c r="K123"/>
  <c r="K122"/>
  <c r="K121"/>
  <c r="K119"/>
  <c r="K118"/>
  <c r="K117"/>
  <c r="K116"/>
  <c r="K115"/>
  <c r="K114"/>
  <c r="K113"/>
  <c r="K111"/>
  <c r="K110"/>
  <c r="K109"/>
  <c r="K108"/>
  <c r="K107"/>
  <c r="K106"/>
  <c r="K105"/>
  <c r="P7" i="9" l="1"/>
  <c r="L230" i="8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K224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152"/>
  <c r="K153"/>
  <c r="K154"/>
  <c r="K155"/>
  <c r="K156"/>
  <c r="K157"/>
  <c r="K158"/>
  <c r="K159"/>
  <c r="K160"/>
  <c r="K161"/>
  <c r="K162"/>
  <c r="K163"/>
  <c r="K164"/>
  <c r="K165"/>
  <c r="K151"/>
  <c r="K230" l="1"/>
  <c r="K229"/>
  <c r="K228"/>
  <c r="K227"/>
  <c r="K226"/>
  <c r="K225"/>
  <c r="F141" i="9"/>
  <c r="K142" s="1"/>
  <c r="K140"/>
  <c r="K135"/>
  <c r="A19" i="10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X17"/>
  <c r="W17"/>
  <c r="V17"/>
  <c r="R17"/>
  <c r="Q17"/>
  <c r="P17"/>
  <c r="J17"/>
  <c r="H17"/>
  <c r="F17"/>
  <c r="D17"/>
  <c r="Q8"/>
  <c r="Q9" s="1"/>
  <c r="Q12" s="1"/>
  <c r="R6"/>
  <c r="R8" s="1"/>
  <c r="R9" s="1"/>
  <c r="R12" s="1"/>
  <c r="Q6"/>
  <c r="P6"/>
  <c r="P8" s="1"/>
  <c r="P9" s="1"/>
  <c r="P12" s="1"/>
  <c r="P18" s="1"/>
  <c r="X4"/>
  <c r="W4"/>
  <c r="V4"/>
  <c r="Q4"/>
  <c r="R3"/>
  <c r="R4" s="1"/>
  <c r="Q3"/>
  <c r="P3"/>
  <c r="R2"/>
  <c r="Q2"/>
  <c r="P2"/>
  <c r="K128" i="9"/>
  <c r="K126"/>
  <c r="K122"/>
  <c r="K120"/>
  <c r="K118"/>
  <c r="K117"/>
  <c r="K114"/>
  <c r="K106"/>
  <c r="K107"/>
  <c r="K108"/>
  <c r="K109"/>
  <c r="K119"/>
  <c r="K124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05"/>
  <c r="K141" l="1"/>
  <c r="K139"/>
  <c r="K138"/>
  <c r="K137"/>
  <c r="K136"/>
  <c r="K134"/>
  <c r="K133"/>
  <c r="K132"/>
  <c r="K131"/>
  <c r="K130"/>
  <c r="K129"/>
  <c r="P4" i="10"/>
  <c r="P102"/>
  <c r="P100"/>
  <c r="P98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P58"/>
  <c r="P56"/>
  <c r="P54"/>
  <c r="P52"/>
  <c r="P50"/>
  <c r="P48"/>
  <c r="P46"/>
  <c r="P44"/>
  <c r="P42"/>
  <c r="P40"/>
  <c r="P38"/>
  <c r="P36"/>
  <c r="P34"/>
  <c r="P32"/>
  <c r="P30"/>
  <c r="P28"/>
  <c r="P26"/>
  <c r="P24"/>
  <c r="P22"/>
  <c r="P20"/>
  <c r="P103"/>
  <c r="P101"/>
  <c r="P99"/>
  <c r="P97"/>
  <c r="P95"/>
  <c r="P93"/>
  <c r="P91"/>
  <c r="P89"/>
  <c r="P87"/>
  <c r="P85"/>
  <c r="P83"/>
  <c r="P81"/>
  <c r="P79"/>
  <c r="P77"/>
  <c r="P75"/>
  <c r="P73"/>
  <c r="P71"/>
  <c r="P69"/>
  <c r="P67"/>
  <c r="P65"/>
  <c r="P63"/>
  <c r="P61"/>
  <c r="P59"/>
  <c r="P57"/>
  <c r="P55"/>
  <c r="P53"/>
  <c r="P51"/>
  <c r="P49"/>
  <c r="P47"/>
  <c r="P45"/>
  <c r="P43"/>
  <c r="P41"/>
  <c r="P39"/>
  <c r="P37"/>
  <c r="P35"/>
  <c r="P33"/>
  <c r="P31"/>
  <c r="P29"/>
  <c r="P27"/>
  <c r="P25"/>
  <c r="P23"/>
  <c r="P21"/>
  <c r="P19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R18"/>
  <c r="R102"/>
  <c r="R100"/>
  <c r="R98"/>
  <c r="R96"/>
  <c r="R94"/>
  <c r="R92"/>
  <c r="R90"/>
  <c r="R88"/>
  <c r="R86"/>
  <c r="R84"/>
  <c r="R82"/>
  <c r="R80"/>
  <c r="R78"/>
  <c r="R76"/>
  <c r="R74"/>
  <c r="R72"/>
  <c r="R70"/>
  <c r="R68"/>
  <c r="R66"/>
  <c r="R64"/>
  <c r="R62"/>
  <c r="R60"/>
  <c r="R58"/>
  <c r="R56"/>
  <c r="R54"/>
  <c r="R52"/>
  <c r="R50"/>
  <c r="R48"/>
  <c r="R46"/>
  <c r="R44"/>
  <c r="R42"/>
  <c r="R40"/>
  <c r="R38"/>
  <c r="R36"/>
  <c r="R34"/>
  <c r="R32"/>
  <c r="R30"/>
  <c r="R28"/>
  <c r="R26"/>
  <c r="R24"/>
  <c r="R22"/>
  <c r="R20"/>
  <c r="R103"/>
  <c r="R101"/>
  <c r="R99"/>
  <c r="R97"/>
  <c r="R95"/>
  <c r="R93"/>
  <c r="R91"/>
  <c r="R89"/>
  <c r="R87"/>
  <c r="R85"/>
  <c r="R83"/>
  <c r="R81"/>
  <c r="R79"/>
  <c r="R77"/>
  <c r="R75"/>
  <c r="R73"/>
  <c r="R71"/>
  <c r="R69"/>
  <c r="R67"/>
  <c r="R65"/>
  <c r="R63"/>
  <c r="R61"/>
  <c r="R59"/>
  <c r="R57"/>
  <c r="R55"/>
  <c r="R53"/>
  <c r="R51"/>
  <c r="R49"/>
  <c r="R47"/>
  <c r="R45"/>
  <c r="R43"/>
  <c r="R41"/>
  <c r="R39"/>
  <c r="R37"/>
  <c r="R35"/>
  <c r="R33"/>
  <c r="R31"/>
  <c r="R29"/>
  <c r="R27"/>
  <c r="R25"/>
  <c r="R23"/>
  <c r="R21"/>
  <c r="R19"/>
  <c r="K127" i="9"/>
  <c r="K125"/>
  <c r="K123"/>
  <c r="K121"/>
  <c r="K116"/>
  <c r="K115"/>
  <c r="K113"/>
  <c r="K112"/>
  <c r="K111"/>
  <c r="K110"/>
  <c r="P7" i="4"/>
  <c r="K140" i="5"/>
  <c r="K130"/>
  <c r="K124"/>
  <c r="F122"/>
  <c r="K119"/>
  <c r="K120"/>
  <c r="K112"/>
  <c r="K106"/>
  <c r="K107"/>
  <c r="K108"/>
  <c r="K109"/>
  <c r="K110"/>
  <c r="K111"/>
  <c r="K131"/>
  <c r="K132"/>
  <c r="K133"/>
  <c r="K134"/>
  <c r="K135"/>
  <c r="K136"/>
  <c r="K137"/>
  <c r="K138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105"/>
  <c r="W4"/>
  <c r="W17"/>
  <c r="K230" i="4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151"/>
  <c r="X17"/>
  <c r="X4"/>
  <c r="K139" i="5" l="1"/>
  <c r="K129"/>
  <c r="K128"/>
  <c r="K127"/>
  <c r="K126"/>
  <c r="K125"/>
  <c r="K123"/>
  <c r="K122"/>
  <c r="K121"/>
  <c r="K118"/>
  <c r="K117"/>
  <c r="K116"/>
  <c r="K115"/>
  <c r="K114"/>
  <c r="K113"/>
  <c r="A19" i="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X17"/>
  <c r="W17"/>
  <c r="V17"/>
  <c r="R17"/>
  <c r="Q17"/>
  <c r="P17"/>
  <c r="J17"/>
  <c r="H17"/>
  <c r="F17"/>
  <c r="D17"/>
  <c r="R7"/>
  <c r="R6"/>
  <c r="R8" s="1"/>
  <c r="R9" s="1"/>
  <c r="R12" s="1"/>
  <c r="Q6"/>
  <c r="Q8" s="1"/>
  <c r="Q9" s="1"/>
  <c r="Q12" s="1"/>
  <c r="P6"/>
  <c r="P8" s="1"/>
  <c r="P9" s="1"/>
  <c r="P12" s="1"/>
  <c r="X4"/>
  <c r="W4"/>
  <c r="V4"/>
  <c r="R3"/>
  <c r="R4" s="1"/>
  <c r="Q3"/>
  <c r="P3"/>
  <c r="P4" s="1"/>
  <c r="R2"/>
  <c r="Q2"/>
  <c r="Q4" s="1"/>
  <c r="P2"/>
  <c r="P7" i="5"/>
  <c r="P105" i="9" l="1"/>
  <c r="P109"/>
  <c r="P113"/>
  <c r="P117"/>
  <c r="P121"/>
  <c r="P125"/>
  <c r="P129"/>
  <c r="P133"/>
  <c r="P137"/>
  <c r="P141"/>
  <c r="P145"/>
  <c r="P149"/>
  <c r="P153"/>
  <c r="P157"/>
  <c r="P161"/>
  <c r="P165"/>
  <c r="P169"/>
  <c r="P173"/>
  <c r="P177"/>
  <c r="P181"/>
  <c r="P185"/>
  <c r="P189"/>
  <c r="P193"/>
  <c r="P197"/>
  <c r="P201"/>
  <c r="P205"/>
  <c r="P209"/>
  <c r="P213"/>
  <c r="P217"/>
  <c r="P221"/>
  <c r="P225"/>
  <c r="P229"/>
  <c r="P111"/>
  <c r="P119"/>
  <c r="P123"/>
  <c r="P127"/>
  <c r="P135"/>
  <c r="P147"/>
  <c r="P155"/>
  <c r="P163"/>
  <c r="P171"/>
  <c r="P179"/>
  <c r="P187"/>
  <c r="P195"/>
  <c r="P203"/>
  <c r="P211"/>
  <c r="P215"/>
  <c r="P227"/>
  <c r="P116"/>
  <c r="P124"/>
  <c r="P128"/>
  <c r="P132"/>
  <c r="P140"/>
  <c r="P148"/>
  <c r="P160"/>
  <c r="P168"/>
  <c r="P176"/>
  <c r="P184"/>
  <c r="P192"/>
  <c r="P200"/>
  <c r="P208"/>
  <c r="P212"/>
  <c r="P228"/>
  <c r="P106"/>
  <c r="P110"/>
  <c r="P114"/>
  <c r="P118"/>
  <c r="P122"/>
  <c r="P126"/>
  <c r="P130"/>
  <c r="P134"/>
  <c r="P138"/>
  <c r="P142"/>
  <c r="P146"/>
  <c r="P150"/>
  <c r="P154"/>
  <c r="P158"/>
  <c r="P162"/>
  <c r="P166"/>
  <c r="P170"/>
  <c r="P174"/>
  <c r="P178"/>
  <c r="P182"/>
  <c r="P186"/>
  <c r="P190"/>
  <c r="P194"/>
  <c r="P198"/>
  <c r="P202"/>
  <c r="P206"/>
  <c r="P210"/>
  <c r="P214"/>
  <c r="P218"/>
  <c r="P222"/>
  <c r="P226"/>
  <c r="P230"/>
  <c r="P104"/>
  <c r="P107"/>
  <c r="P115"/>
  <c r="P131"/>
  <c r="P139"/>
  <c r="P143"/>
  <c r="P151"/>
  <c r="P159"/>
  <c r="P167"/>
  <c r="P175"/>
  <c r="P183"/>
  <c r="P191"/>
  <c r="P199"/>
  <c r="P207"/>
  <c r="P219"/>
  <c r="P223"/>
  <c r="P231"/>
  <c r="P108"/>
  <c r="P112"/>
  <c r="P120"/>
  <c r="P136"/>
  <c r="P144"/>
  <c r="P152"/>
  <c r="P156"/>
  <c r="P164"/>
  <c r="P172"/>
  <c r="P180"/>
  <c r="P188"/>
  <c r="P196"/>
  <c r="P204"/>
  <c r="P216"/>
  <c r="P220"/>
  <c r="P224"/>
  <c r="Q106"/>
  <c r="Q110"/>
  <c r="Q114"/>
  <c r="Q118"/>
  <c r="Q122"/>
  <c r="Q126"/>
  <c r="Q130"/>
  <c r="Q134"/>
  <c r="Q138"/>
  <c r="Q142"/>
  <c r="Q146"/>
  <c r="Q150"/>
  <c r="Q154"/>
  <c r="Q158"/>
  <c r="Q162"/>
  <c r="Q166"/>
  <c r="Q170"/>
  <c r="Q174"/>
  <c r="Q178"/>
  <c r="Q182"/>
  <c r="Q186"/>
  <c r="Q190"/>
  <c r="Q194"/>
  <c r="Q198"/>
  <c r="Q202"/>
  <c r="Q206"/>
  <c r="Q210"/>
  <c r="Q214"/>
  <c r="Q218"/>
  <c r="Q222"/>
  <c r="Q226"/>
  <c r="Q230"/>
  <c r="Q108"/>
  <c r="Q116"/>
  <c r="Q132"/>
  <c r="Q144"/>
  <c r="Q152"/>
  <c r="Q160"/>
  <c r="Q168"/>
  <c r="Q176"/>
  <c r="Q184"/>
  <c r="Q192"/>
  <c r="Q200"/>
  <c r="Q208"/>
  <c r="Q212"/>
  <c r="Q224"/>
  <c r="Q104"/>
  <c r="Q105"/>
  <c r="Q109"/>
  <c r="Q113"/>
  <c r="Q121"/>
  <c r="Q137"/>
  <c r="Q145"/>
  <c r="Q153"/>
  <c r="Q157"/>
  <c r="Q165"/>
  <c r="Q173"/>
  <c r="Q181"/>
  <c r="Q189"/>
  <c r="Q197"/>
  <c r="Q205"/>
  <c r="Q107"/>
  <c r="Q111"/>
  <c r="Q115"/>
  <c r="Q119"/>
  <c r="Q123"/>
  <c r="Q127"/>
  <c r="Q131"/>
  <c r="Q135"/>
  <c r="Q139"/>
  <c r="Q143"/>
  <c r="Q147"/>
  <c r="Q151"/>
  <c r="Q155"/>
  <c r="Q159"/>
  <c r="Q163"/>
  <c r="Q167"/>
  <c r="Q171"/>
  <c r="Q175"/>
  <c r="Q179"/>
  <c r="Q183"/>
  <c r="Q187"/>
  <c r="Q191"/>
  <c r="Q195"/>
  <c r="Q199"/>
  <c r="Q203"/>
  <c r="Q207"/>
  <c r="Q211"/>
  <c r="Q215"/>
  <c r="Q219"/>
  <c r="Q223"/>
  <c r="Q227"/>
  <c r="Q231"/>
  <c r="Q112"/>
  <c r="Q120"/>
  <c r="Q124"/>
  <c r="Q128"/>
  <c r="Q136"/>
  <c r="Q140"/>
  <c r="Q148"/>
  <c r="Q156"/>
  <c r="Q164"/>
  <c r="Q172"/>
  <c r="Q180"/>
  <c r="Q188"/>
  <c r="Q196"/>
  <c r="Q204"/>
  <c r="Q216"/>
  <c r="Q220"/>
  <c r="Q228"/>
  <c r="Q117"/>
  <c r="Q125"/>
  <c r="Q129"/>
  <c r="Q133"/>
  <c r="Q141"/>
  <c r="Q149"/>
  <c r="Q161"/>
  <c r="Q169"/>
  <c r="Q177"/>
  <c r="Q185"/>
  <c r="Q193"/>
  <c r="Q201"/>
  <c r="Q209"/>
  <c r="Q213"/>
  <c r="Q217"/>
  <c r="Q221"/>
  <c r="Q225"/>
  <c r="Q229"/>
  <c r="R107"/>
  <c r="R111"/>
  <c r="R115"/>
  <c r="R119"/>
  <c r="R123"/>
  <c r="R127"/>
  <c r="R131"/>
  <c r="R135"/>
  <c r="R139"/>
  <c r="R143"/>
  <c r="R147"/>
  <c r="R151"/>
  <c r="R155"/>
  <c r="R159"/>
  <c r="R163"/>
  <c r="R167"/>
  <c r="R171"/>
  <c r="R175"/>
  <c r="R179"/>
  <c r="R183"/>
  <c r="R187"/>
  <c r="R191"/>
  <c r="R195"/>
  <c r="R199"/>
  <c r="R203"/>
  <c r="R207"/>
  <c r="R211"/>
  <c r="R215"/>
  <c r="R219"/>
  <c r="R223"/>
  <c r="R227"/>
  <c r="R231"/>
  <c r="R105"/>
  <c r="R113"/>
  <c r="R129"/>
  <c r="R137"/>
  <c r="R141"/>
  <c r="R149"/>
  <c r="R157"/>
  <c r="R165"/>
  <c r="R173"/>
  <c r="R181"/>
  <c r="R189"/>
  <c r="R197"/>
  <c r="R205"/>
  <c r="R217"/>
  <c r="R221"/>
  <c r="R229"/>
  <c r="R118"/>
  <c r="R126"/>
  <c r="R130"/>
  <c r="R134"/>
  <c r="R142"/>
  <c r="R150"/>
  <c r="R162"/>
  <c r="R170"/>
  <c r="R178"/>
  <c r="R186"/>
  <c r="R194"/>
  <c r="R202"/>
  <c r="R214"/>
  <c r="R218"/>
  <c r="R222"/>
  <c r="R226"/>
  <c r="R230"/>
  <c r="R104"/>
  <c r="R108"/>
  <c r="R112"/>
  <c r="R116"/>
  <c r="R120"/>
  <c r="R124"/>
  <c r="R128"/>
  <c r="R132"/>
  <c r="R136"/>
  <c r="R140"/>
  <c r="R144"/>
  <c r="R148"/>
  <c r="R152"/>
  <c r="R156"/>
  <c r="R160"/>
  <c r="R164"/>
  <c r="R168"/>
  <c r="R172"/>
  <c r="R176"/>
  <c r="R180"/>
  <c r="R184"/>
  <c r="R188"/>
  <c r="R192"/>
  <c r="R196"/>
  <c r="R200"/>
  <c r="R204"/>
  <c r="R208"/>
  <c r="R212"/>
  <c r="R216"/>
  <c r="R220"/>
  <c r="R224"/>
  <c r="R228"/>
  <c r="R109"/>
  <c r="R117"/>
  <c r="R121"/>
  <c r="R125"/>
  <c r="R133"/>
  <c r="R145"/>
  <c r="R153"/>
  <c r="R161"/>
  <c r="R169"/>
  <c r="R177"/>
  <c r="R185"/>
  <c r="R193"/>
  <c r="R201"/>
  <c r="R209"/>
  <c r="R213"/>
  <c r="R225"/>
  <c r="R106"/>
  <c r="R110"/>
  <c r="R114"/>
  <c r="R122"/>
  <c r="R138"/>
  <c r="R146"/>
  <c r="R154"/>
  <c r="R158"/>
  <c r="R166"/>
  <c r="R174"/>
  <c r="R182"/>
  <c r="R190"/>
  <c r="R198"/>
  <c r="R206"/>
  <c r="R210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A19" i="8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X17"/>
  <c r="W17"/>
  <c r="V17"/>
  <c r="R17"/>
  <c r="Q17"/>
  <c r="P17"/>
  <c r="J17"/>
  <c r="H17"/>
  <c r="F17"/>
  <c r="D17"/>
  <c r="R7"/>
  <c r="R6"/>
  <c r="R8" s="1"/>
  <c r="R9" s="1"/>
  <c r="R12" s="1"/>
  <c r="Q6"/>
  <c r="Q8" s="1"/>
  <c r="Q9" s="1"/>
  <c r="Q12" s="1"/>
  <c r="P6"/>
  <c r="P8" s="1"/>
  <c r="P9" s="1"/>
  <c r="P12" s="1"/>
  <c r="X4"/>
  <c r="W4"/>
  <c r="V4"/>
  <c r="R3"/>
  <c r="R4" s="1"/>
  <c r="Q3"/>
  <c r="Q4" s="1"/>
  <c r="P3"/>
  <c r="P4" s="1"/>
  <c r="R2"/>
  <c r="Q2"/>
  <c r="P2"/>
  <c r="R154" l="1"/>
  <c r="R158"/>
  <c r="R162"/>
  <c r="R166"/>
  <c r="R170"/>
  <c r="R174"/>
  <c r="R178"/>
  <c r="R182"/>
  <c r="R186"/>
  <c r="R190"/>
  <c r="R194"/>
  <c r="R198"/>
  <c r="R202"/>
  <c r="R206"/>
  <c r="R210"/>
  <c r="R214"/>
  <c r="R218"/>
  <c r="R222"/>
  <c r="R226"/>
  <c r="R230"/>
  <c r="R234"/>
  <c r="R238"/>
  <c r="R242"/>
  <c r="R246"/>
  <c r="R250"/>
  <c r="R254"/>
  <c r="R258"/>
  <c r="R262"/>
  <c r="R266"/>
  <c r="R270"/>
  <c r="R274"/>
  <c r="R151"/>
  <c r="R155"/>
  <c r="R159"/>
  <c r="R163"/>
  <c r="R167"/>
  <c r="R171"/>
  <c r="R175"/>
  <c r="R179"/>
  <c r="R183"/>
  <c r="R187"/>
  <c r="R191"/>
  <c r="R195"/>
  <c r="R199"/>
  <c r="R203"/>
  <c r="R207"/>
  <c r="R211"/>
  <c r="R215"/>
  <c r="R219"/>
  <c r="R223"/>
  <c r="R227"/>
  <c r="R231"/>
  <c r="R235"/>
  <c r="R239"/>
  <c r="R243"/>
  <c r="R247"/>
  <c r="R251"/>
  <c r="R255"/>
  <c r="R259"/>
  <c r="R263"/>
  <c r="R267"/>
  <c r="R271"/>
  <c r="R152"/>
  <c r="R156"/>
  <c r="R160"/>
  <c r="R164"/>
  <c r="R168"/>
  <c r="R172"/>
  <c r="R176"/>
  <c r="R180"/>
  <c r="R184"/>
  <c r="R188"/>
  <c r="R192"/>
  <c r="R196"/>
  <c r="R200"/>
  <c r="R204"/>
  <c r="R208"/>
  <c r="R212"/>
  <c r="R216"/>
  <c r="R220"/>
  <c r="R224"/>
  <c r="R228"/>
  <c r="R232"/>
  <c r="R236"/>
  <c r="R240"/>
  <c r="R244"/>
  <c r="R248"/>
  <c r="R252"/>
  <c r="R256"/>
  <c r="R260"/>
  <c r="R264"/>
  <c r="R268"/>
  <c r="R272"/>
  <c r="R153"/>
  <c r="R157"/>
  <c r="R161"/>
  <c r="R165"/>
  <c r="R169"/>
  <c r="R173"/>
  <c r="R177"/>
  <c r="R181"/>
  <c r="R185"/>
  <c r="R189"/>
  <c r="R193"/>
  <c r="R197"/>
  <c r="R201"/>
  <c r="R205"/>
  <c r="R209"/>
  <c r="R213"/>
  <c r="R217"/>
  <c r="R221"/>
  <c r="R225"/>
  <c r="R229"/>
  <c r="R233"/>
  <c r="R237"/>
  <c r="R241"/>
  <c r="R245"/>
  <c r="R249"/>
  <c r="R253"/>
  <c r="R257"/>
  <c r="R261"/>
  <c r="R265"/>
  <c r="R269"/>
  <c r="R273"/>
  <c r="R150"/>
  <c r="P148"/>
  <c r="P146"/>
  <c r="P144"/>
  <c r="P142"/>
  <c r="P140"/>
  <c r="P138"/>
  <c r="P136"/>
  <c r="P134"/>
  <c r="P132"/>
  <c r="P130"/>
  <c r="P128"/>
  <c r="P126"/>
  <c r="P124"/>
  <c r="P122"/>
  <c r="P120"/>
  <c r="P118"/>
  <c r="P116"/>
  <c r="P114"/>
  <c r="P112"/>
  <c r="P110"/>
  <c r="P108"/>
  <c r="P106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49"/>
  <c r="P147"/>
  <c r="P145"/>
  <c r="P143"/>
  <c r="P141"/>
  <c r="P139"/>
  <c r="P137"/>
  <c r="P135"/>
  <c r="P133"/>
  <c r="P131"/>
  <c r="P129"/>
  <c r="P127"/>
  <c r="P125"/>
  <c r="P123"/>
  <c r="P121"/>
  <c r="P119"/>
  <c r="P117"/>
  <c r="P115"/>
  <c r="P113"/>
  <c r="P111"/>
  <c r="P109"/>
  <c r="P107"/>
  <c r="P105"/>
  <c r="R148"/>
  <c r="R146"/>
  <c r="R144"/>
  <c r="R142"/>
  <c r="R140"/>
  <c r="R138"/>
  <c r="R136"/>
  <c r="R134"/>
  <c r="R132"/>
  <c r="R130"/>
  <c r="R128"/>
  <c r="R126"/>
  <c r="R124"/>
  <c r="R122"/>
  <c r="R120"/>
  <c r="R118"/>
  <c r="R116"/>
  <c r="R114"/>
  <c r="R112"/>
  <c r="R110"/>
  <c r="R108"/>
  <c r="R106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49"/>
  <c r="R147"/>
  <c r="R145"/>
  <c r="R143"/>
  <c r="R141"/>
  <c r="R139"/>
  <c r="R137"/>
  <c r="R135"/>
  <c r="R133"/>
  <c r="R131"/>
  <c r="R129"/>
  <c r="R127"/>
  <c r="R125"/>
  <c r="R123"/>
  <c r="R121"/>
  <c r="R119"/>
  <c r="R117"/>
  <c r="R115"/>
  <c r="R113"/>
  <c r="R111"/>
  <c r="R109"/>
  <c r="R107"/>
  <c r="R105"/>
  <c r="Q149"/>
  <c r="Q147"/>
  <c r="Q145"/>
  <c r="Q143"/>
  <c r="Q141"/>
  <c r="Q139"/>
  <c r="Q137"/>
  <c r="Q135"/>
  <c r="Q133"/>
  <c r="Q131"/>
  <c r="Q129"/>
  <c r="Q127"/>
  <c r="Q125"/>
  <c r="Q123"/>
  <c r="Q121"/>
  <c r="Q119"/>
  <c r="Q117"/>
  <c r="Q115"/>
  <c r="Q113"/>
  <c r="Q111"/>
  <c r="Q109"/>
  <c r="Q107"/>
  <c r="Q105"/>
  <c r="Q148"/>
  <c r="Q146"/>
  <c r="Q144"/>
  <c r="Q142"/>
  <c r="Q140"/>
  <c r="Q138"/>
  <c r="Q136"/>
  <c r="Q134"/>
  <c r="Q132"/>
  <c r="Q130"/>
  <c r="Q128"/>
  <c r="Q126"/>
  <c r="Q124"/>
  <c r="Q122"/>
  <c r="Q120"/>
  <c r="Q118"/>
  <c r="Q116"/>
  <c r="Q114"/>
  <c r="Q112"/>
  <c r="Q110"/>
  <c r="Q108"/>
  <c r="Q106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R7" i="6" l="1"/>
  <c r="F17" l="1"/>
  <c r="D17"/>
  <c r="X17"/>
  <c r="X4"/>
  <c r="J17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W17"/>
  <c r="V17"/>
  <c r="R17"/>
  <c r="Q17"/>
  <c r="P17"/>
  <c r="H17"/>
  <c r="R6"/>
  <c r="R8" s="1"/>
  <c r="R9" s="1"/>
  <c r="R12" s="1"/>
  <c r="Q6"/>
  <c r="Q8" s="1"/>
  <c r="Q9" s="1"/>
  <c r="Q12" s="1"/>
  <c r="P6"/>
  <c r="P8" s="1"/>
  <c r="P9" s="1"/>
  <c r="W4"/>
  <c r="V4"/>
  <c r="R3"/>
  <c r="R4" s="1"/>
  <c r="Q3"/>
  <c r="Q4" s="1"/>
  <c r="P3"/>
  <c r="P4" s="1"/>
  <c r="R2"/>
  <c r="Q2"/>
  <c r="P2"/>
  <c r="W17" i="4"/>
  <c r="W4"/>
  <c r="R108" i="6" l="1"/>
  <c r="R112"/>
  <c r="R116"/>
  <c r="R120"/>
  <c r="R124"/>
  <c r="R128"/>
  <c r="R132"/>
  <c r="R136"/>
  <c r="R140"/>
  <c r="R144"/>
  <c r="R148"/>
  <c r="R152"/>
  <c r="R156"/>
  <c r="R160"/>
  <c r="R164"/>
  <c r="R168"/>
  <c r="R172"/>
  <c r="R176"/>
  <c r="R180"/>
  <c r="R184"/>
  <c r="R188"/>
  <c r="R192"/>
  <c r="R196"/>
  <c r="R200"/>
  <c r="R204"/>
  <c r="R208"/>
  <c r="R212"/>
  <c r="R216"/>
  <c r="R220"/>
  <c r="R224"/>
  <c r="R228"/>
  <c r="R232"/>
  <c r="R236"/>
  <c r="R240"/>
  <c r="R244"/>
  <c r="R248"/>
  <c r="R252"/>
  <c r="R256"/>
  <c r="R260"/>
  <c r="R264"/>
  <c r="R268"/>
  <c r="R272"/>
  <c r="R194"/>
  <c r="R226"/>
  <c r="R234"/>
  <c r="R242"/>
  <c r="R254"/>
  <c r="R258"/>
  <c r="R270"/>
  <c r="R119"/>
  <c r="R127"/>
  <c r="R135"/>
  <c r="R143"/>
  <c r="R151"/>
  <c r="R163"/>
  <c r="R171"/>
  <c r="R179"/>
  <c r="R187"/>
  <c r="R195"/>
  <c r="R203"/>
  <c r="R211"/>
  <c r="R219"/>
  <c r="R231"/>
  <c r="R235"/>
  <c r="R243"/>
  <c r="R251"/>
  <c r="R259"/>
  <c r="R267"/>
  <c r="R105"/>
  <c r="R109"/>
  <c r="R113"/>
  <c r="R117"/>
  <c r="R121"/>
  <c r="R125"/>
  <c r="R129"/>
  <c r="R133"/>
  <c r="R137"/>
  <c r="R141"/>
  <c r="R145"/>
  <c r="R149"/>
  <c r="R153"/>
  <c r="R157"/>
  <c r="R161"/>
  <c r="R165"/>
  <c r="R169"/>
  <c r="R173"/>
  <c r="R177"/>
  <c r="R181"/>
  <c r="R185"/>
  <c r="R189"/>
  <c r="R193"/>
  <c r="R197"/>
  <c r="R201"/>
  <c r="R205"/>
  <c r="R209"/>
  <c r="R213"/>
  <c r="R217"/>
  <c r="R221"/>
  <c r="R225"/>
  <c r="R229"/>
  <c r="R233"/>
  <c r="R237"/>
  <c r="R241"/>
  <c r="R245"/>
  <c r="R249"/>
  <c r="R253"/>
  <c r="R257"/>
  <c r="R261"/>
  <c r="R265"/>
  <c r="R269"/>
  <c r="R273"/>
  <c r="R104"/>
  <c r="R106"/>
  <c r="R110"/>
  <c r="R114"/>
  <c r="R118"/>
  <c r="R122"/>
  <c r="R126"/>
  <c r="R130"/>
  <c r="R134"/>
  <c r="R138"/>
  <c r="R142"/>
  <c r="R146"/>
  <c r="R150"/>
  <c r="R154"/>
  <c r="R158"/>
  <c r="R162"/>
  <c r="R166"/>
  <c r="R170"/>
  <c r="R174"/>
  <c r="R178"/>
  <c r="R182"/>
  <c r="R186"/>
  <c r="R190"/>
  <c r="R198"/>
  <c r="R202"/>
  <c r="R206"/>
  <c r="R210"/>
  <c r="R214"/>
  <c r="R218"/>
  <c r="R222"/>
  <c r="R230"/>
  <c r="R238"/>
  <c r="R246"/>
  <c r="R250"/>
  <c r="R262"/>
  <c r="R266"/>
  <c r="R274"/>
  <c r="R107"/>
  <c r="R111"/>
  <c r="R115"/>
  <c r="R123"/>
  <c r="R131"/>
  <c r="R139"/>
  <c r="R147"/>
  <c r="R155"/>
  <c r="R159"/>
  <c r="R167"/>
  <c r="R175"/>
  <c r="R183"/>
  <c r="R191"/>
  <c r="R199"/>
  <c r="R207"/>
  <c r="R215"/>
  <c r="R223"/>
  <c r="R227"/>
  <c r="R239"/>
  <c r="R247"/>
  <c r="R255"/>
  <c r="R263"/>
  <c r="R271"/>
  <c r="V17" i="4"/>
  <c r="V4"/>
  <c r="V17" i="5"/>
  <c r="V4" l="1"/>
  <c r="F17"/>
  <c r="D17"/>
  <c r="J17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R17"/>
  <c r="Q17"/>
  <c r="P17"/>
  <c r="H17"/>
  <c r="R6"/>
  <c r="R8" s="1"/>
  <c r="R9" s="1"/>
  <c r="R12" s="1"/>
  <c r="Q6"/>
  <c r="Q8" s="1"/>
  <c r="Q9" s="1"/>
  <c r="Q12" s="1"/>
  <c r="P6"/>
  <c r="P8" s="1"/>
  <c r="P9" s="1"/>
  <c r="P12" s="1"/>
  <c r="R3"/>
  <c r="Q3"/>
  <c r="P3"/>
  <c r="R2"/>
  <c r="Q2"/>
  <c r="P2"/>
  <c r="Q6" i="4"/>
  <c r="Q8" s="1"/>
  <c r="Q9" s="1"/>
  <c r="Q12" s="1"/>
  <c r="P6"/>
  <c r="P8" s="1"/>
  <c r="P9" s="1"/>
  <c r="P12" s="1"/>
  <c r="Q3"/>
  <c r="P3"/>
  <c r="Q2"/>
  <c r="P2"/>
  <c r="P17"/>
  <c r="Q17"/>
  <c r="R17"/>
  <c r="H17"/>
  <c r="R6"/>
  <c r="R8" s="1"/>
  <c r="R9" s="1"/>
  <c r="R12" s="1"/>
  <c r="R3"/>
  <c r="R2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P153" l="1"/>
  <c r="P157"/>
  <c r="P161"/>
  <c r="P165"/>
  <c r="P169"/>
  <c r="P173"/>
  <c r="P177"/>
  <c r="P181"/>
  <c r="P185"/>
  <c r="P189"/>
  <c r="P193"/>
  <c r="P197"/>
  <c r="P201"/>
  <c r="P205"/>
  <c r="P209"/>
  <c r="P213"/>
  <c r="P217"/>
  <c r="P221"/>
  <c r="P225"/>
  <c r="P229"/>
  <c r="P233"/>
  <c r="P237"/>
  <c r="P241"/>
  <c r="P245"/>
  <c r="P249"/>
  <c r="P253"/>
  <c r="P257"/>
  <c r="P261"/>
  <c r="P265"/>
  <c r="P269"/>
  <c r="P273"/>
  <c r="P150"/>
  <c r="P258"/>
  <c r="P262"/>
  <c r="P266"/>
  <c r="P270"/>
  <c r="P274"/>
  <c r="P151"/>
  <c r="P155"/>
  <c r="P159"/>
  <c r="P163"/>
  <c r="P167"/>
  <c r="P171"/>
  <c r="P175"/>
  <c r="P179"/>
  <c r="P183"/>
  <c r="P187"/>
  <c r="P191"/>
  <c r="P195"/>
  <c r="P199"/>
  <c r="P203"/>
  <c r="P207"/>
  <c r="P211"/>
  <c r="P215"/>
  <c r="P219"/>
  <c r="P223"/>
  <c r="P227"/>
  <c r="P231"/>
  <c r="P235"/>
  <c r="P239"/>
  <c r="P243"/>
  <c r="P247"/>
  <c r="P251"/>
  <c r="P255"/>
  <c r="P259"/>
  <c r="P263"/>
  <c r="P267"/>
  <c r="P271"/>
  <c r="P152"/>
  <c r="P156"/>
  <c r="P160"/>
  <c r="P164"/>
  <c r="P168"/>
  <c r="P172"/>
  <c r="P176"/>
  <c r="P180"/>
  <c r="P184"/>
  <c r="P188"/>
  <c r="P192"/>
  <c r="P196"/>
  <c r="P200"/>
  <c r="P204"/>
  <c r="P208"/>
  <c r="P212"/>
  <c r="P216"/>
  <c r="P220"/>
  <c r="P228"/>
  <c r="P232"/>
  <c r="P236"/>
  <c r="P244"/>
  <c r="P248"/>
  <c r="P256"/>
  <c r="P264"/>
  <c r="P272"/>
  <c r="P154"/>
  <c r="P158"/>
  <c r="P162"/>
  <c r="P166"/>
  <c r="P170"/>
  <c r="P174"/>
  <c r="P178"/>
  <c r="P182"/>
  <c r="P186"/>
  <c r="P190"/>
  <c r="P194"/>
  <c r="P198"/>
  <c r="P202"/>
  <c r="P206"/>
  <c r="P210"/>
  <c r="P214"/>
  <c r="P218"/>
  <c r="P222"/>
  <c r="P226"/>
  <c r="P230"/>
  <c r="P234"/>
  <c r="P238"/>
  <c r="P242"/>
  <c r="P246"/>
  <c r="P250"/>
  <c r="P254"/>
  <c r="P224"/>
  <c r="P240"/>
  <c r="P252"/>
  <c r="P260"/>
  <c r="P268"/>
  <c r="P105" i="5"/>
  <c r="P109"/>
  <c r="P113"/>
  <c r="P117"/>
  <c r="P121"/>
  <c r="P125"/>
  <c r="P129"/>
  <c r="P133"/>
  <c r="P137"/>
  <c r="P141"/>
  <c r="P145"/>
  <c r="P149"/>
  <c r="P153"/>
  <c r="P157"/>
  <c r="P161"/>
  <c r="P165"/>
  <c r="P169"/>
  <c r="P173"/>
  <c r="P177"/>
  <c r="P181"/>
  <c r="P185"/>
  <c r="P189"/>
  <c r="P193"/>
  <c r="P197"/>
  <c r="P201"/>
  <c r="P205"/>
  <c r="P209"/>
  <c r="P213"/>
  <c r="P217"/>
  <c r="P221"/>
  <c r="P225"/>
  <c r="P229"/>
  <c r="P233"/>
  <c r="P237"/>
  <c r="P241"/>
  <c r="P245"/>
  <c r="P249"/>
  <c r="P253"/>
  <c r="P257"/>
  <c r="P261"/>
  <c r="P265"/>
  <c r="P269"/>
  <c r="P273"/>
  <c r="P104"/>
  <c r="P108"/>
  <c r="P120"/>
  <c r="P124"/>
  <c r="P140"/>
  <c r="P148"/>
  <c r="P152"/>
  <c r="P156"/>
  <c r="P160"/>
  <c r="P168"/>
  <c r="P176"/>
  <c r="P188"/>
  <c r="P196"/>
  <c r="P228"/>
  <c r="P232"/>
  <c r="P244"/>
  <c r="P252"/>
  <c r="P260"/>
  <c r="P268"/>
  <c r="P272"/>
  <c r="P106"/>
  <c r="P110"/>
  <c r="P114"/>
  <c r="P118"/>
  <c r="P122"/>
  <c r="P126"/>
  <c r="P130"/>
  <c r="P134"/>
  <c r="P138"/>
  <c r="P142"/>
  <c r="P146"/>
  <c r="P150"/>
  <c r="P154"/>
  <c r="P158"/>
  <c r="P162"/>
  <c r="P166"/>
  <c r="P170"/>
  <c r="P174"/>
  <c r="P178"/>
  <c r="P182"/>
  <c r="P186"/>
  <c r="P190"/>
  <c r="P194"/>
  <c r="P198"/>
  <c r="P202"/>
  <c r="P206"/>
  <c r="P210"/>
  <c r="P214"/>
  <c r="P218"/>
  <c r="P222"/>
  <c r="P226"/>
  <c r="P230"/>
  <c r="P234"/>
  <c r="P238"/>
  <c r="P242"/>
  <c r="P246"/>
  <c r="P250"/>
  <c r="P254"/>
  <c r="P258"/>
  <c r="P262"/>
  <c r="P266"/>
  <c r="P270"/>
  <c r="P274"/>
  <c r="P107"/>
  <c r="P111"/>
  <c r="P115"/>
  <c r="P119"/>
  <c r="P123"/>
  <c r="P127"/>
  <c r="P131"/>
  <c r="P135"/>
  <c r="P139"/>
  <c r="P143"/>
  <c r="P147"/>
  <c r="P151"/>
  <c r="P155"/>
  <c r="P159"/>
  <c r="P163"/>
  <c r="P167"/>
  <c r="P171"/>
  <c r="P175"/>
  <c r="P179"/>
  <c r="P183"/>
  <c r="P187"/>
  <c r="P191"/>
  <c r="P195"/>
  <c r="P199"/>
  <c r="P203"/>
  <c r="P207"/>
  <c r="P211"/>
  <c r="P215"/>
  <c r="P219"/>
  <c r="P223"/>
  <c r="P227"/>
  <c r="P231"/>
  <c r="P235"/>
  <c r="P239"/>
  <c r="P243"/>
  <c r="P247"/>
  <c r="P251"/>
  <c r="P255"/>
  <c r="P259"/>
  <c r="P263"/>
  <c r="P267"/>
  <c r="P271"/>
  <c r="P112"/>
  <c r="P116"/>
  <c r="P128"/>
  <c r="P132"/>
  <c r="P136"/>
  <c r="P144"/>
  <c r="P164"/>
  <c r="P172"/>
  <c r="P180"/>
  <c r="P184"/>
  <c r="P192"/>
  <c r="P200"/>
  <c r="P204"/>
  <c r="P208"/>
  <c r="P212"/>
  <c r="P216"/>
  <c r="P220"/>
  <c r="P224"/>
  <c r="P236"/>
  <c r="P240"/>
  <c r="P248"/>
  <c r="P256"/>
  <c r="P264"/>
  <c r="R4"/>
  <c r="Q4"/>
  <c r="P4"/>
  <c r="P4" i="4"/>
  <c r="Q4"/>
  <c r="R4"/>
</calcChain>
</file>

<file path=xl/sharedStrings.xml><?xml version="1.0" encoding="utf-8"?>
<sst xmlns="http://schemas.openxmlformats.org/spreadsheetml/2006/main" count="434" uniqueCount="144">
  <si>
    <t>Alpha [grd]</t>
  </si>
  <si>
    <t>korr. Sound</t>
  </si>
  <si>
    <t>MM1 KF 0°</t>
  </si>
  <si>
    <t>Ampl [dB]</t>
  </si>
  <si>
    <t>Frequenz</t>
  </si>
  <si>
    <t>DT94-8 (1)</t>
  </si>
  <si>
    <t>DT94-8 (2)</t>
  </si>
  <si>
    <t>DT94-8 (3)</t>
  </si>
  <si>
    <t>DT94-8 soll</t>
  </si>
  <si>
    <t>FG, -30dB</t>
  </si>
  <si>
    <t>Vss</t>
  </si>
  <si>
    <t>Amp, V=23</t>
  </si>
  <si>
    <t>Soll</t>
  </si>
  <si>
    <t>Korrektur</t>
  </si>
  <si>
    <t>dB</t>
  </si>
  <si>
    <t>Mic Amp Vmax</t>
  </si>
  <si>
    <t>Abschwächung</t>
  </si>
  <si>
    <t>V ist</t>
  </si>
  <si>
    <t>Vist</t>
  </si>
  <si>
    <t>fach</t>
  </si>
  <si>
    <t>mm</t>
  </si>
  <si>
    <t>Mic Ausgang</t>
  </si>
  <si>
    <t>V/Pa</t>
  </si>
  <si>
    <t>Pa/mm</t>
  </si>
  <si>
    <t xml:space="preserve">Vss </t>
  </si>
  <si>
    <t>FRS8-4 soll</t>
  </si>
  <si>
    <t>FRS8-4 (1)</t>
  </si>
  <si>
    <t>FRS8-4 (2)</t>
  </si>
  <si>
    <t>File</t>
  </si>
  <si>
    <t>Anfang</t>
  </si>
  <si>
    <t>sek</t>
  </si>
  <si>
    <t>Testbox_3-Wege_B01.wav</t>
  </si>
  <si>
    <t>Hmic</t>
  </si>
  <si>
    <t>Hchassis</t>
  </si>
  <si>
    <t>Lmic</t>
  </si>
  <si>
    <t>m</t>
  </si>
  <si>
    <t>Lres</t>
  </si>
  <si>
    <t>m/s</t>
  </si>
  <si>
    <t>Schallgeschwindigkeit C</t>
  </si>
  <si>
    <t>Invertiert 1/0</t>
  </si>
  <si>
    <t>W200S-4 (3)</t>
  </si>
  <si>
    <t>W200S-4 soll</t>
  </si>
  <si>
    <t>W200S-4 (2)</t>
  </si>
  <si>
    <t>W200S-4 (1)</t>
  </si>
  <si>
    <t>3-Wege_Box1.wav</t>
  </si>
  <si>
    <t>3-Wege_Box2.wav</t>
  </si>
  <si>
    <t>B80-8 (1)</t>
  </si>
  <si>
    <t>B80-8 (2)</t>
  </si>
  <si>
    <t>B80-8 soll</t>
  </si>
  <si>
    <t>G20SC-8 (1)</t>
  </si>
  <si>
    <t>G20SC-8 (2)</t>
  </si>
  <si>
    <t>G20SC-8 soll</t>
  </si>
  <si>
    <t>WS20E-4 (1)</t>
  </si>
  <si>
    <t>WS20E-4 (2)</t>
  </si>
  <si>
    <t>WS20E-4 soll</t>
  </si>
  <si>
    <t>Aktivbox_3-Wege_neu01.wav</t>
  </si>
  <si>
    <t>Messung des Amplituden- und Phasengangs der einzelnen Chassis</t>
  </si>
  <si>
    <t xml:space="preserve">Für die Messungen wurde ein Beyerdynamic MM1 Messmikrofon und ein selbstgebauter </t>
  </si>
  <si>
    <t>Mikrofonverstärker verwendet.</t>
  </si>
  <si>
    <t>Als Signalquelle wurde ein ebenfalls selbstgebauter Sinusgenerator mit "Burst" Funktion verwendet.</t>
  </si>
  <si>
    <t>(siehe http://www.wernerhirsch.de/frequenzzaehler_dds_generator1.htm )</t>
  </si>
  <si>
    <t>Die Signale des Sinusgenerators und des Mikrofonverstärkers wurden über die PC Soundkarte als WAV Datei</t>
  </si>
  <si>
    <t xml:space="preserve">aufgenommen. Als Aufnahmesoftware wurde von mir der "Magix Music Editor" verwendet, aber andere </t>
  </si>
  <si>
    <t>Programme können sicherlich auch verwendet werden.</t>
  </si>
  <si>
    <t>Ein Hinweis vorweg: Das hier beschriebene Verfahren ist sehr zeitauffwendig, liefert aber recht gute Ergebnisse!</t>
  </si>
  <si>
    <t xml:space="preserve">Im ersten Schritt sollte die Linearität der Soundkarte mit Hilfe des Sinusgenerators ermittelt werden und </t>
  </si>
  <si>
    <t>ggf. eine Korrekturkurve ermittelt werden. Bei mir sinkt die Empfindlichkeit bei 20kHz um ca. 1,1dB</t>
  </si>
  <si>
    <t>Die Korrekturwerte stehen in den nachfolgen Seiten in Spalte N.</t>
  </si>
  <si>
    <t xml:space="preserve">Die Messungen der einzelnen Chassis wurden ohne Frequenzweiche in dem gezeigten Gehäuse </t>
  </si>
  <si>
    <t>durchgeführt. Aus den Daten kann dann eine Frequenzweiche mit guter Genauigkeit berechnet werden.</t>
  </si>
  <si>
    <t>Für alle Chassis wurde die nebenstehende Messanordnung verwendet.</t>
  </si>
  <si>
    <t>Für die Messungen wurde am Sinusgenerator eine Amplitude von 125mVss (entspricht 44,2mV effektiv)</t>
  </si>
  <si>
    <t>eigestellt. Mit der Endstufenverstärkung von 23 ergibt sich somit eine Spannung von 2,875Vss an den Chassis.</t>
  </si>
  <si>
    <t>Das entspricht ziemlich genau dem allgemein üblichen Wert von 2,83Vss (1V effektiv)</t>
  </si>
  <si>
    <t>Die Verstärkung des Mikrofonverstärkers wurde so eingestellt, das das Signal möglichst hoch ist, jedoch in den</t>
  </si>
  <si>
    <t>interessierenden Bereichen die Soundkarte nicht übersteuert.</t>
  </si>
  <si>
    <t>Für die Messungen wurde am Sinusgenerator der "Burst" Modus verwendet, d.h. es wird ein kurzer Tonburst</t>
  </si>
  <si>
    <t>ausgegeben, gefolgt von einer längeren Pause, in der die Raumreflektionen abklingen können.</t>
  </si>
  <si>
    <t xml:space="preserve">Wird ein "Burst" ausgeegeben, benötigt der direkte Schall ca. 3ms bis er am Mikrofon ankommt. </t>
  </si>
  <si>
    <t>Die Reflektionen vom Boden (bzw. von der Decke), die die Messung verfälschen, benötigen ca. 4ms länger.</t>
  </si>
  <si>
    <t>Abzüglich einer Einschwingzeit von 1-1,5ms erhält man ca. 2,5-3ms ungestörte Messzeit.</t>
  </si>
  <si>
    <t xml:space="preserve">Die Verstärkung des Mikrofonverstärkers war auf 63,9-fach eingestellt, d.h. die Ausgangsspannung am </t>
  </si>
  <si>
    <t>Mikrofon betrug :  542mVss / 63,9 = 8,48mVss</t>
  </si>
  <si>
    <t>8,48mV / 14,2mV/Pa = 0,597Pa</t>
  </si>
  <si>
    <t>Die Umrechnung von Druck in dB ergiebt: 20*LOG(0,597Pa/0,00002Pa/dB) = 89,5dB</t>
  </si>
  <si>
    <t>mV/Pa</t>
  </si>
  <si>
    <t xml:space="preserve">Die Empfindlichkeit des Mikrofons beträgt 14,2mV/Pa bei 1kHz, daraus ergibt sich ein Schalldruck von </t>
  </si>
  <si>
    <t>Die nötige Korrektur beträgt: 2,83V / 2,875V = 0,984 = -0,14dB</t>
  </si>
  <si>
    <t>Abzüglich der Korrektur für das etwas zu hohe Eingangssignal von -0,14dB ergibt sich der Schalldruck zu 89,4dB</t>
  </si>
  <si>
    <t>dB (0dB=1V/Pa)   =</t>
  </si>
  <si>
    <t>dB (0dB=1V/µbar) =</t>
  </si>
  <si>
    <t>10^(-64/20)*10 V/Pa =</t>
  </si>
  <si>
    <t>10^(-37/20) V/Pa     =</t>
  </si>
  <si>
    <t>V/Pa =</t>
  </si>
  <si>
    <t xml:space="preserve">Teilweise wird die Empfindlichkeit des Mikrofons nur in dB angegeben. Die Umrechnung kann den </t>
  </si>
  <si>
    <t>folgenden Beispielen entnommen werden.</t>
  </si>
  <si>
    <t xml:space="preserve">Die gemessen Amplituden in mm der einzelnen Chassis stehen in den Chassis Blättern in  den Spalten </t>
  </si>
  <si>
    <t>Ampl [mm]</t>
  </si>
  <si>
    <t>C, E und G, die berechneten Amplituden in dB in den Spalten P-R.</t>
  </si>
  <si>
    <t>Ggf. muß der Wert noch mit den Korrekturdaten für die Soundkarte und das Mikrofon korrigiert werden.</t>
  </si>
  <si>
    <t>Die Korrekturdaten für Soundkarte und Mikrofon stehen in den Spalten N-O der Chassis Blätter.</t>
  </si>
  <si>
    <t>Der Phasenwinkel ergibt sich aus der Verschiebung des Nulldurchgangs der beiden Kurven.</t>
  </si>
  <si>
    <t>bzw. -54,2mm / 68,5mm x 360° = -285°. Beide Ergebnisse sind gleichwertig.</t>
  </si>
  <si>
    <t xml:space="preserve">Die Amplitude in dem links gezeigten Beispiel für den W200S aus Box1 beträgt 39mm, d.h. das Signal vom </t>
  </si>
  <si>
    <t>Mikrofonverstärker beträgt  39mm / 9mm x 125mVss = 542mVss</t>
  </si>
  <si>
    <t>Dieser Phasenwinkel ist bezogen auf die Position des Mikrofons. Für Vergleichbarkeit wird der Phasenwinkel</t>
  </si>
  <si>
    <t>auf die Schallwand in Höhe des Chassis zurückgerechnet.</t>
  </si>
  <si>
    <t>Dafür benötigt man die resultierende Länge des direkten Schallweges L res :</t>
  </si>
  <si>
    <t>L res = WURZEL(Lmic^2 + (Hmic - Hchass)^2) = WURZEL(1m^2 + (1,35m - 1,1m)^2) =</t>
  </si>
  <si>
    <t>Für die weitere Berechnung werden die Winkel in Perioden umgerechnet.</t>
  </si>
  <si>
    <t>P gemessen = 75°/360° =</t>
  </si>
  <si>
    <t>Zusätzlich benötigt man die Schallgeschwindigkeit in Luft: C =</t>
  </si>
  <si>
    <t>m/s (bei 20°C)</t>
  </si>
  <si>
    <t>P lres = Lres / C x F =  1,0308m / 343m/s x 726,4Hz =</t>
  </si>
  <si>
    <t>Mein Mikrofonverstärker invertiert das Mikrofonsignal, d.h. dreht das Signal um 180° oder 0,5 Perioden.</t>
  </si>
  <si>
    <t>Die Gesamte Periode P errechnet sich aus P gemessen + P lres + P mic</t>
  </si>
  <si>
    <t>P mic =</t>
  </si>
  <si>
    <t>P = 0,2083 + 2,1830 +0,5 =</t>
  </si>
  <si>
    <t>Von der Periode P wird nur der Nachkomma Anteil P' benötigt:  P' = P - GANZZAHL(P)</t>
  </si>
  <si>
    <t>Periode P' in Grad umgerechnet ergiebt: 0,8913 x 360° =</t>
  </si>
  <si>
    <t>°</t>
  </si>
  <si>
    <t>Für die Grafik soll der Wert zwischen -180° und +180° liegen, d.h. wenn der Wert &gt; 180° beträgt,</t>
  </si>
  <si>
    <t>werden noch mal 360° abgezogen.</t>
  </si>
  <si>
    <t>Phasenwinkel = 320,9° - 360° =</t>
  </si>
  <si>
    <t>P' = 2,8913 - 2 =</t>
  </si>
  <si>
    <t>In dem Beispiel beträgt die gemessene Verschiebung +14,3mm bzw. -54,2mm bezogen auf die Wellenlänge</t>
  </si>
  <si>
    <t>von 68,5mm. Daraus ergibt sich der gemessene Phasenwinkel zu +14,3mm / 68,5mm x 360° = +75°,</t>
  </si>
  <si>
    <t xml:space="preserve">Die gemessen Phasenwinkel der Chassis sind in den Spalten D, F und H, die rückgerechneten Winkel in den </t>
  </si>
  <si>
    <t>Spalten V-X.</t>
  </si>
  <si>
    <t>Zum Vergleich sind die Daten aus der Boxsim Simulation in den Spalten I-J beigefügt.</t>
  </si>
  <si>
    <t>Mit der oben gezeigten Messanordnung sind in einem Raum von L x B x H = 3,5m x 2,5m x 2,5m</t>
  </si>
  <si>
    <t>reflektionsarme Messungen ab ca. 200Hz möglich.</t>
  </si>
  <si>
    <t xml:space="preserve">Steht ein doppelt so großer Raum mit einer Deckenhöhe von 5m zur Verfügung, sind bei entsprechend </t>
  </si>
  <si>
    <t>höherer Anordnung von Box und Mikrofon (Hmic = 2,6m, Htt = 2,35) Messungen ab ca. 75Hz möglich.</t>
  </si>
  <si>
    <t>Messmikrofon:</t>
  </si>
  <si>
    <t>Voraussetzung für vernünftige Messungen ist ein gutes Messmikrofon mit bekanntem Frequenzgang.</t>
  </si>
  <si>
    <t>Vorher habe ich ein Renkforce "Messmikrofon" PHM919 verwendet, das den Namen eigentlich nicht verdient.</t>
  </si>
  <si>
    <t>Wie oben erwähnt verwende ich ein Beyerdynamic MM1 Messmikrofon. Dieses Mikrofon hat den Vorteil</t>
  </si>
  <si>
    <t>eines von Haus aus relativ flachen Frequenzgangs und zusätzlich wird jedem Mikrofon eine individuelle</t>
  </si>
  <si>
    <t xml:space="preserve"> Abweichungskurve  beigelegt, die für die Korrektur verwendet werden kann.</t>
  </si>
  <si>
    <t xml:space="preserve">Das gleiche gilt auch für die günstig angebotenen Elektret Mikrofonkapseln. Während die Produktinformationen </t>
  </si>
  <si>
    <t>Linearitäten von +/- 2-3 dB angeben, sieht die Realität deutlich anders aus.</t>
  </si>
  <si>
    <t>Für 2 von mir getestete Typen lagen die Linearitätsfehler ebenfalls bei bis zu 12dB.</t>
  </si>
  <si>
    <t>Laut Produktblatt sollte der typische Linearitätsfehler ca. 2 dB betragen, tatsächlich lag der Fehler bei ca. +12dB!!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</si>
</sst>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0" xfId="0" quotePrefix="1"/>
    <xf numFmtId="0" fontId="0" fillId="2" borderId="0" xfId="0" applyFill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6" fontId="2" fillId="0" borderId="0" xfId="0" applyNumberFormat="1" applyFont="1"/>
    <xf numFmtId="164" fontId="2" fillId="0" borderId="0" xfId="0" applyNumberFormat="1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99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0650605487500876E-2"/>
          <c:y val="5.1400554097404488E-2"/>
          <c:w val="0.88980465353919713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'W200S-4'!$I$17</c:f>
              <c:strCache>
                <c:ptCount val="1"/>
                <c:pt idx="0">
                  <c:v>W200S-4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'W200S-4'!$I$18:$I$274</c:f>
              <c:numCache>
                <c:formatCode>General</c:formatCode>
                <c:ptCount val="257"/>
                <c:pt idx="0">
                  <c:v>67.22</c:v>
                </c:pt>
                <c:pt idx="1">
                  <c:v>67.858000000000004</c:v>
                </c:pt>
                <c:pt idx="2">
                  <c:v>68.498999999999995</c:v>
                </c:pt>
                <c:pt idx="3">
                  <c:v>69.143000000000001</c:v>
                </c:pt>
                <c:pt idx="4">
                  <c:v>69.787999999999997</c:v>
                </c:pt>
                <c:pt idx="5">
                  <c:v>70.436999999999998</c:v>
                </c:pt>
                <c:pt idx="6">
                  <c:v>71.087999999999994</c:v>
                </c:pt>
                <c:pt idx="7">
                  <c:v>71.742000000000004</c:v>
                </c:pt>
                <c:pt idx="8">
                  <c:v>72.397999999999996</c:v>
                </c:pt>
                <c:pt idx="9">
                  <c:v>73.055999999999997</c:v>
                </c:pt>
                <c:pt idx="10">
                  <c:v>73.715999999999994</c:v>
                </c:pt>
                <c:pt idx="11">
                  <c:v>74.376999999999995</c:v>
                </c:pt>
                <c:pt idx="12">
                  <c:v>75.039000000000001</c:v>
                </c:pt>
                <c:pt idx="13">
                  <c:v>75.700999999999993</c:v>
                </c:pt>
                <c:pt idx="14">
                  <c:v>76.361999999999995</c:v>
                </c:pt>
                <c:pt idx="15">
                  <c:v>77.02</c:v>
                </c:pt>
                <c:pt idx="16">
                  <c:v>77.674000000000007</c:v>
                </c:pt>
                <c:pt idx="17">
                  <c:v>78.322000000000003</c:v>
                </c:pt>
                <c:pt idx="18">
                  <c:v>78.962000000000003</c:v>
                </c:pt>
                <c:pt idx="19">
                  <c:v>79.590999999999994</c:v>
                </c:pt>
                <c:pt idx="20">
                  <c:v>80.206000000000003</c:v>
                </c:pt>
                <c:pt idx="21">
                  <c:v>80.804000000000002</c:v>
                </c:pt>
                <c:pt idx="22">
                  <c:v>81.381</c:v>
                </c:pt>
                <c:pt idx="23">
                  <c:v>81.933000000000007</c:v>
                </c:pt>
                <c:pt idx="24">
                  <c:v>82.456999999999994</c:v>
                </c:pt>
                <c:pt idx="25">
                  <c:v>82.95</c:v>
                </c:pt>
                <c:pt idx="26">
                  <c:v>83.406999999999996</c:v>
                </c:pt>
                <c:pt idx="27">
                  <c:v>83.825999999999993</c:v>
                </c:pt>
                <c:pt idx="28">
                  <c:v>84.206999999999994</c:v>
                </c:pt>
                <c:pt idx="29">
                  <c:v>84.546999999999997</c:v>
                </c:pt>
                <c:pt idx="30">
                  <c:v>84.847999999999999</c:v>
                </c:pt>
                <c:pt idx="31">
                  <c:v>85.11</c:v>
                </c:pt>
                <c:pt idx="32">
                  <c:v>85.334999999999994</c:v>
                </c:pt>
                <c:pt idx="33">
                  <c:v>85.513999999999996</c:v>
                </c:pt>
                <c:pt idx="34">
                  <c:v>85.661000000000001</c:v>
                </c:pt>
                <c:pt idx="35">
                  <c:v>85.781999999999996</c:v>
                </c:pt>
                <c:pt idx="36">
                  <c:v>85.881</c:v>
                </c:pt>
                <c:pt idx="37">
                  <c:v>85.96</c:v>
                </c:pt>
                <c:pt idx="38">
                  <c:v>86.024000000000001</c:v>
                </c:pt>
                <c:pt idx="39">
                  <c:v>86.072999999999993</c:v>
                </c:pt>
                <c:pt idx="40">
                  <c:v>86.111000000000004</c:v>
                </c:pt>
                <c:pt idx="41">
                  <c:v>86.14</c:v>
                </c:pt>
                <c:pt idx="42">
                  <c:v>86.167000000000002</c:v>
                </c:pt>
                <c:pt idx="43">
                  <c:v>86.192999999999998</c:v>
                </c:pt>
                <c:pt idx="44">
                  <c:v>86.224000000000004</c:v>
                </c:pt>
                <c:pt idx="45">
                  <c:v>86.259</c:v>
                </c:pt>
                <c:pt idx="46">
                  <c:v>86.299000000000007</c:v>
                </c:pt>
                <c:pt idx="47">
                  <c:v>86.338999999999999</c:v>
                </c:pt>
                <c:pt idx="48">
                  <c:v>86.373999999999995</c:v>
                </c:pt>
                <c:pt idx="49">
                  <c:v>86.397999999999996</c:v>
                </c:pt>
                <c:pt idx="50">
                  <c:v>86.412000000000006</c:v>
                </c:pt>
                <c:pt idx="51">
                  <c:v>86.415999999999997</c:v>
                </c:pt>
                <c:pt idx="52">
                  <c:v>86.412000000000006</c:v>
                </c:pt>
                <c:pt idx="53">
                  <c:v>86.402000000000001</c:v>
                </c:pt>
                <c:pt idx="54">
                  <c:v>86.391999999999996</c:v>
                </c:pt>
                <c:pt idx="55">
                  <c:v>86.391000000000005</c:v>
                </c:pt>
                <c:pt idx="56">
                  <c:v>86.400999999999996</c:v>
                </c:pt>
                <c:pt idx="57">
                  <c:v>86.423000000000002</c:v>
                </c:pt>
                <c:pt idx="58">
                  <c:v>86.45</c:v>
                </c:pt>
                <c:pt idx="59">
                  <c:v>86.481999999999999</c:v>
                </c:pt>
                <c:pt idx="60">
                  <c:v>86.525000000000006</c:v>
                </c:pt>
                <c:pt idx="61">
                  <c:v>86.578000000000003</c:v>
                </c:pt>
                <c:pt idx="62">
                  <c:v>86.638999999999996</c:v>
                </c:pt>
                <c:pt idx="63">
                  <c:v>86.698999999999998</c:v>
                </c:pt>
                <c:pt idx="64">
                  <c:v>86.748000000000005</c:v>
                </c:pt>
                <c:pt idx="65">
                  <c:v>86.784000000000006</c:v>
                </c:pt>
                <c:pt idx="66">
                  <c:v>86.804000000000002</c:v>
                </c:pt>
                <c:pt idx="67">
                  <c:v>86.804000000000002</c:v>
                </c:pt>
                <c:pt idx="68">
                  <c:v>86.771000000000001</c:v>
                </c:pt>
                <c:pt idx="69">
                  <c:v>86.688000000000002</c:v>
                </c:pt>
                <c:pt idx="70">
                  <c:v>86.539000000000001</c:v>
                </c:pt>
                <c:pt idx="71">
                  <c:v>86.325000000000003</c:v>
                </c:pt>
                <c:pt idx="72">
                  <c:v>86.06</c:v>
                </c:pt>
                <c:pt idx="73">
                  <c:v>85.795000000000002</c:v>
                </c:pt>
                <c:pt idx="74">
                  <c:v>85.603999999999999</c:v>
                </c:pt>
                <c:pt idx="75">
                  <c:v>85.492999999999995</c:v>
                </c:pt>
                <c:pt idx="76">
                  <c:v>85.47</c:v>
                </c:pt>
                <c:pt idx="77">
                  <c:v>85.536000000000001</c:v>
                </c:pt>
                <c:pt idx="78">
                  <c:v>85.662999999999997</c:v>
                </c:pt>
                <c:pt idx="79">
                  <c:v>85.8</c:v>
                </c:pt>
                <c:pt idx="80">
                  <c:v>85.927000000000007</c:v>
                </c:pt>
                <c:pt idx="81">
                  <c:v>86.027000000000001</c:v>
                </c:pt>
                <c:pt idx="82">
                  <c:v>86.097999999999999</c:v>
                </c:pt>
                <c:pt idx="83">
                  <c:v>86.138000000000005</c:v>
                </c:pt>
                <c:pt idx="84">
                  <c:v>86.141999999999996</c:v>
                </c:pt>
                <c:pt idx="85">
                  <c:v>86.141999999999996</c:v>
                </c:pt>
                <c:pt idx="86">
                  <c:v>86.183000000000007</c:v>
                </c:pt>
                <c:pt idx="87">
                  <c:v>86.277000000000001</c:v>
                </c:pt>
                <c:pt idx="88">
                  <c:v>86.385000000000005</c:v>
                </c:pt>
                <c:pt idx="89">
                  <c:v>86.460999999999999</c:v>
                </c:pt>
                <c:pt idx="90">
                  <c:v>86.501000000000005</c:v>
                </c:pt>
                <c:pt idx="91">
                  <c:v>86.52</c:v>
                </c:pt>
                <c:pt idx="92">
                  <c:v>86.492999999999995</c:v>
                </c:pt>
                <c:pt idx="93">
                  <c:v>86.385999999999996</c:v>
                </c:pt>
                <c:pt idx="94">
                  <c:v>86.234999999999999</c:v>
                </c:pt>
                <c:pt idx="95">
                  <c:v>86.126999999999995</c:v>
                </c:pt>
                <c:pt idx="96">
                  <c:v>86.078000000000003</c:v>
                </c:pt>
                <c:pt idx="97">
                  <c:v>86.004999999999995</c:v>
                </c:pt>
                <c:pt idx="98">
                  <c:v>85.891000000000005</c:v>
                </c:pt>
                <c:pt idx="99">
                  <c:v>85.858999999999995</c:v>
                </c:pt>
                <c:pt idx="100">
                  <c:v>86.016000000000005</c:v>
                </c:pt>
                <c:pt idx="101">
                  <c:v>86.343000000000004</c:v>
                </c:pt>
                <c:pt idx="102">
                  <c:v>86.781999999999996</c:v>
                </c:pt>
                <c:pt idx="103">
                  <c:v>87.227000000000004</c:v>
                </c:pt>
                <c:pt idx="104">
                  <c:v>87.53</c:v>
                </c:pt>
                <c:pt idx="105">
                  <c:v>87.688999999999993</c:v>
                </c:pt>
                <c:pt idx="106">
                  <c:v>87.822000000000003</c:v>
                </c:pt>
                <c:pt idx="107">
                  <c:v>87.968999999999994</c:v>
                </c:pt>
                <c:pt idx="108">
                  <c:v>88.183999999999997</c:v>
                </c:pt>
                <c:pt idx="109">
                  <c:v>88.441999999999993</c:v>
                </c:pt>
                <c:pt idx="110">
                  <c:v>88.552000000000007</c:v>
                </c:pt>
                <c:pt idx="111">
                  <c:v>88.533000000000001</c:v>
                </c:pt>
                <c:pt idx="112">
                  <c:v>88.456000000000003</c:v>
                </c:pt>
                <c:pt idx="113">
                  <c:v>88.266999999999996</c:v>
                </c:pt>
                <c:pt idx="114">
                  <c:v>88.093999999999994</c:v>
                </c:pt>
                <c:pt idx="115">
                  <c:v>87.97</c:v>
                </c:pt>
                <c:pt idx="116">
                  <c:v>87.906999999999996</c:v>
                </c:pt>
                <c:pt idx="117">
                  <c:v>87.921999999999997</c:v>
                </c:pt>
                <c:pt idx="118">
                  <c:v>87.935000000000002</c:v>
                </c:pt>
                <c:pt idx="119">
                  <c:v>87.981999999999999</c:v>
                </c:pt>
                <c:pt idx="120">
                  <c:v>88.049000000000007</c:v>
                </c:pt>
                <c:pt idx="121">
                  <c:v>88.239000000000004</c:v>
                </c:pt>
                <c:pt idx="122">
                  <c:v>88.442999999999998</c:v>
                </c:pt>
                <c:pt idx="123">
                  <c:v>88.546999999999997</c:v>
                </c:pt>
                <c:pt idx="124">
                  <c:v>88.519000000000005</c:v>
                </c:pt>
                <c:pt idx="125">
                  <c:v>88.537000000000006</c:v>
                </c:pt>
                <c:pt idx="126">
                  <c:v>88.465000000000003</c:v>
                </c:pt>
                <c:pt idx="127">
                  <c:v>88.293999999999997</c:v>
                </c:pt>
                <c:pt idx="128">
                  <c:v>88.04</c:v>
                </c:pt>
                <c:pt idx="129">
                  <c:v>87.769000000000005</c:v>
                </c:pt>
                <c:pt idx="130">
                  <c:v>87.492999999999995</c:v>
                </c:pt>
                <c:pt idx="131">
                  <c:v>87.254999999999995</c:v>
                </c:pt>
                <c:pt idx="132">
                  <c:v>87.087000000000003</c:v>
                </c:pt>
                <c:pt idx="133">
                  <c:v>86.888999999999996</c:v>
                </c:pt>
                <c:pt idx="134">
                  <c:v>86.781000000000006</c:v>
                </c:pt>
                <c:pt idx="135">
                  <c:v>86.697000000000003</c:v>
                </c:pt>
                <c:pt idx="136">
                  <c:v>86.614999999999995</c:v>
                </c:pt>
                <c:pt idx="137">
                  <c:v>86.637</c:v>
                </c:pt>
                <c:pt idx="138">
                  <c:v>86.828000000000003</c:v>
                </c:pt>
                <c:pt idx="139">
                  <c:v>87.244</c:v>
                </c:pt>
                <c:pt idx="140">
                  <c:v>87.72</c:v>
                </c:pt>
                <c:pt idx="141">
                  <c:v>88.15</c:v>
                </c:pt>
                <c:pt idx="142">
                  <c:v>88.531000000000006</c:v>
                </c:pt>
                <c:pt idx="143">
                  <c:v>88.635000000000005</c:v>
                </c:pt>
                <c:pt idx="144">
                  <c:v>88.450999999999993</c:v>
                </c:pt>
                <c:pt idx="145">
                  <c:v>87.819000000000003</c:v>
                </c:pt>
                <c:pt idx="146">
                  <c:v>86.95</c:v>
                </c:pt>
                <c:pt idx="147">
                  <c:v>86.081999999999994</c:v>
                </c:pt>
                <c:pt idx="148">
                  <c:v>85.572000000000003</c:v>
                </c:pt>
                <c:pt idx="149">
                  <c:v>85.369</c:v>
                </c:pt>
                <c:pt idx="150">
                  <c:v>85.587000000000003</c:v>
                </c:pt>
                <c:pt idx="151">
                  <c:v>85.962999999999994</c:v>
                </c:pt>
                <c:pt idx="152">
                  <c:v>86.301000000000002</c:v>
                </c:pt>
                <c:pt idx="153">
                  <c:v>86.662000000000006</c:v>
                </c:pt>
                <c:pt idx="154">
                  <c:v>87.097999999999999</c:v>
                </c:pt>
                <c:pt idx="155">
                  <c:v>87.427999999999997</c:v>
                </c:pt>
                <c:pt idx="156">
                  <c:v>87.241</c:v>
                </c:pt>
                <c:pt idx="157">
                  <c:v>86.414000000000001</c:v>
                </c:pt>
                <c:pt idx="158">
                  <c:v>84.974000000000004</c:v>
                </c:pt>
                <c:pt idx="159">
                  <c:v>83.539000000000001</c:v>
                </c:pt>
                <c:pt idx="160">
                  <c:v>82.506</c:v>
                </c:pt>
                <c:pt idx="161">
                  <c:v>81.953000000000003</c:v>
                </c:pt>
                <c:pt idx="162">
                  <c:v>81.691000000000003</c:v>
                </c:pt>
                <c:pt idx="163">
                  <c:v>81.626000000000005</c:v>
                </c:pt>
                <c:pt idx="164">
                  <c:v>81.715999999999994</c:v>
                </c:pt>
                <c:pt idx="165">
                  <c:v>81.852999999999994</c:v>
                </c:pt>
                <c:pt idx="166">
                  <c:v>81.962999999999994</c:v>
                </c:pt>
                <c:pt idx="167">
                  <c:v>82.001999999999995</c:v>
                </c:pt>
                <c:pt idx="168">
                  <c:v>82.031000000000006</c:v>
                </c:pt>
                <c:pt idx="169">
                  <c:v>82.144999999999996</c:v>
                </c:pt>
                <c:pt idx="170">
                  <c:v>82.364999999999995</c:v>
                </c:pt>
                <c:pt idx="171">
                  <c:v>82.632000000000005</c:v>
                </c:pt>
                <c:pt idx="172">
                  <c:v>82.841999999999999</c:v>
                </c:pt>
                <c:pt idx="173">
                  <c:v>83.013000000000005</c:v>
                </c:pt>
                <c:pt idx="174">
                  <c:v>83.21</c:v>
                </c:pt>
                <c:pt idx="175">
                  <c:v>83.385000000000005</c:v>
                </c:pt>
                <c:pt idx="176">
                  <c:v>83.381</c:v>
                </c:pt>
                <c:pt idx="177">
                  <c:v>83.141999999999996</c:v>
                </c:pt>
                <c:pt idx="178">
                  <c:v>82.792000000000002</c:v>
                </c:pt>
                <c:pt idx="179">
                  <c:v>82.507999999999996</c:v>
                </c:pt>
                <c:pt idx="180">
                  <c:v>82.331999999999994</c:v>
                </c:pt>
                <c:pt idx="181">
                  <c:v>82.138000000000005</c:v>
                </c:pt>
                <c:pt idx="182">
                  <c:v>81.891000000000005</c:v>
                </c:pt>
                <c:pt idx="183">
                  <c:v>81.793999999999997</c:v>
                </c:pt>
                <c:pt idx="184">
                  <c:v>82.091999999999999</c:v>
                </c:pt>
                <c:pt idx="185">
                  <c:v>82.843000000000004</c:v>
                </c:pt>
                <c:pt idx="186">
                  <c:v>83.866</c:v>
                </c:pt>
                <c:pt idx="187">
                  <c:v>84.926000000000002</c:v>
                </c:pt>
                <c:pt idx="188">
                  <c:v>85.962999999999994</c:v>
                </c:pt>
                <c:pt idx="189">
                  <c:v>87.052000000000007</c:v>
                </c:pt>
                <c:pt idx="190">
                  <c:v>88.210999999999999</c:v>
                </c:pt>
                <c:pt idx="191">
                  <c:v>89.17</c:v>
                </c:pt>
                <c:pt idx="192">
                  <c:v>89.516999999999996</c:v>
                </c:pt>
                <c:pt idx="193">
                  <c:v>88.988</c:v>
                </c:pt>
                <c:pt idx="194">
                  <c:v>87.631</c:v>
                </c:pt>
                <c:pt idx="195">
                  <c:v>85.799000000000007</c:v>
                </c:pt>
                <c:pt idx="196">
                  <c:v>83.762</c:v>
                </c:pt>
                <c:pt idx="197">
                  <c:v>81.768000000000001</c:v>
                </c:pt>
                <c:pt idx="198">
                  <c:v>80.241</c:v>
                </c:pt>
                <c:pt idx="199">
                  <c:v>79.575000000000003</c:v>
                </c:pt>
                <c:pt idx="200">
                  <c:v>79.786000000000001</c:v>
                </c:pt>
                <c:pt idx="201">
                  <c:v>80.305000000000007</c:v>
                </c:pt>
                <c:pt idx="202">
                  <c:v>80.388999999999996</c:v>
                </c:pt>
                <c:pt idx="203">
                  <c:v>79.875</c:v>
                </c:pt>
                <c:pt idx="204">
                  <c:v>79.221000000000004</c:v>
                </c:pt>
                <c:pt idx="205">
                  <c:v>78.792000000000002</c:v>
                </c:pt>
                <c:pt idx="206">
                  <c:v>78.433999999999997</c:v>
                </c:pt>
                <c:pt idx="207">
                  <c:v>77.712000000000003</c:v>
                </c:pt>
                <c:pt idx="208">
                  <c:v>76.388000000000005</c:v>
                </c:pt>
                <c:pt idx="209">
                  <c:v>74.756</c:v>
                </c:pt>
                <c:pt idx="210">
                  <c:v>73.411000000000001</c:v>
                </c:pt>
                <c:pt idx="211">
                  <c:v>72.614999999999995</c:v>
                </c:pt>
                <c:pt idx="212">
                  <c:v>72.159000000000006</c:v>
                </c:pt>
                <c:pt idx="213">
                  <c:v>71.682000000000002</c:v>
                </c:pt>
                <c:pt idx="214">
                  <c:v>71.134</c:v>
                </c:pt>
                <c:pt idx="215">
                  <c:v>70.966999999999999</c:v>
                </c:pt>
                <c:pt idx="216">
                  <c:v>71.563000000000002</c:v>
                </c:pt>
                <c:pt idx="217">
                  <c:v>72.492999999999995</c:v>
                </c:pt>
                <c:pt idx="218">
                  <c:v>72.614999999999995</c:v>
                </c:pt>
                <c:pt idx="219">
                  <c:v>71.054000000000002</c:v>
                </c:pt>
                <c:pt idx="220">
                  <c:v>68.097999999999999</c:v>
                </c:pt>
                <c:pt idx="221">
                  <c:v>64.867000000000004</c:v>
                </c:pt>
                <c:pt idx="222">
                  <c:v>62.482999999999997</c:v>
                </c:pt>
                <c:pt idx="223">
                  <c:v>61.534999999999997</c:v>
                </c:pt>
                <c:pt idx="224">
                  <c:v>61.601999999999997</c:v>
                </c:pt>
                <c:pt idx="225">
                  <c:v>61.673000000000002</c:v>
                </c:pt>
                <c:pt idx="226">
                  <c:v>60.805999999999997</c:v>
                </c:pt>
                <c:pt idx="227">
                  <c:v>58.558999999999997</c:v>
                </c:pt>
                <c:pt idx="228">
                  <c:v>55.58</c:v>
                </c:pt>
                <c:pt idx="229">
                  <c:v>53.027999999999999</c:v>
                </c:pt>
                <c:pt idx="230">
                  <c:v>51.53</c:v>
                </c:pt>
                <c:pt idx="231">
                  <c:v>50.976999999999997</c:v>
                </c:pt>
                <c:pt idx="232">
                  <c:v>50.875</c:v>
                </c:pt>
                <c:pt idx="233">
                  <c:v>50.832000000000001</c:v>
                </c:pt>
                <c:pt idx="234">
                  <c:v>50.691000000000003</c:v>
                </c:pt>
                <c:pt idx="235">
                  <c:v>50.212000000000003</c:v>
                </c:pt>
                <c:pt idx="236">
                  <c:v>49.296999999999997</c:v>
                </c:pt>
                <c:pt idx="237">
                  <c:v>48.423999999999999</c:v>
                </c:pt>
                <c:pt idx="238">
                  <c:v>48.015999999999998</c:v>
                </c:pt>
                <c:pt idx="239">
                  <c:v>47.902000000000001</c:v>
                </c:pt>
                <c:pt idx="240">
                  <c:v>47.433</c:v>
                </c:pt>
                <c:pt idx="241">
                  <c:v>46.164000000000001</c:v>
                </c:pt>
                <c:pt idx="242">
                  <c:v>44.551000000000002</c:v>
                </c:pt>
                <c:pt idx="243">
                  <c:v>43.448999999999998</c:v>
                </c:pt>
                <c:pt idx="244">
                  <c:v>43.121000000000002</c:v>
                </c:pt>
                <c:pt idx="245">
                  <c:v>43.107999999999997</c:v>
                </c:pt>
                <c:pt idx="246">
                  <c:v>42.978000000000002</c:v>
                </c:pt>
                <c:pt idx="247">
                  <c:v>42.91</c:v>
                </c:pt>
                <c:pt idx="248">
                  <c:v>43.314</c:v>
                </c:pt>
                <c:pt idx="249">
                  <c:v>44.287999999999997</c:v>
                </c:pt>
                <c:pt idx="250">
                  <c:v>45.408999999999999</c:v>
                </c:pt>
                <c:pt idx="251">
                  <c:v>46.118000000000002</c:v>
                </c:pt>
                <c:pt idx="252">
                  <c:v>46.212000000000003</c:v>
                </c:pt>
                <c:pt idx="253">
                  <c:v>46.058999999999997</c:v>
                </c:pt>
                <c:pt idx="254">
                  <c:v>46.116</c:v>
                </c:pt>
                <c:pt idx="255">
                  <c:v>46.390999999999998</c:v>
                </c:pt>
                <c:pt idx="256">
                  <c:v>46.783000000000001</c:v>
                </c:pt>
              </c:numCache>
            </c:numRef>
          </c:yVal>
        </c:ser>
        <c:ser>
          <c:idx val="0"/>
          <c:order val="1"/>
          <c:tx>
            <c:strRef>
              <c:f>'W200S-4'!$P$17</c:f>
              <c:strCache>
                <c:ptCount val="1"/>
                <c:pt idx="0">
                  <c:v>W200S-4 (1)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'W200S-4'!$P$18:$P$274</c:f>
              <c:numCache>
                <c:formatCode>General</c:formatCode>
                <c:ptCount val="257"/>
                <c:pt idx="86">
                  <c:v>88.902133252247751</c:v>
                </c:pt>
                <c:pt idx="87">
                  <c:v>88.902133252247751</c:v>
                </c:pt>
                <c:pt idx="88">
                  <c:v>88.664148786253605</c:v>
                </c:pt>
                <c:pt idx="89">
                  <c:v>88.664148786253605</c:v>
                </c:pt>
                <c:pt idx="90">
                  <c:v>88.419459657913364</c:v>
                </c:pt>
                <c:pt idx="91">
                  <c:v>88.419459657913364</c:v>
                </c:pt>
                <c:pt idx="92">
                  <c:v>88.419459657913364</c:v>
                </c:pt>
                <c:pt idx="93">
                  <c:v>88.167677111752951</c:v>
                </c:pt>
                <c:pt idx="94">
                  <c:v>87.908377568465596</c:v>
                </c:pt>
                <c:pt idx="95">
                  <c:v>87.641098337305976</c:v>
                </c:pt>
                <c:pt idx="96">
                  <c:v>87.504309846699869</c:v>
                </c:pt>
                <c:pt idx="97">
                  <c:v>87.080523865301103</c:v>
                </c:pt>
                <c:pt idx="98">
                  <c:v>87.080523865301103</c:v>
                </c:pt>
                <c:pt idx="99">
                  <c:v>87.080523865301103</c:v>
                </c:pt>
                <c:pt idx="100">
                  <c:v>87.080523865301103</c:v>
                </c:pt>
                <c:pt idx="101">
                  <c:v>87.140523865301105</c:v>
                </c:pt>
                <c:pt idx="102">
                  <c:v>87.180523865301097</c:v>
                </c:pt>
                <c:pt idx="103">
                  <c:v>87.180523865301097</c:v>
                </c:pt>
                <c:pt idx="104">
                  <c:v>87.180523865301097</c:v>
                </c:pt>
                <c:pt idx="105">
                  <c:v>87.180523865301097</c:v>
                </c:pt>
                <c:pt idx="106">
                  <c:v>87.180523865301097</c:v>
                </c:pt>
                <c:pt idx="107">
                  <c:v>87.180523865301097</c:v>
                </c:pt>
                <c:pt idx="108">
                  <c:v>87.180523865301097</c:v>
                </c:pt>
                <c:pt idx="109">
                  <c:v>87.180523865301097</c:v>
                </c:pt>
                <c:pt idx="110">
                  <c:v>87.324095557843549</c:v>
                </c:pt>
                <c:pt idx="111">
                  <c:v>87.324095557843549</c:v>
                </c:pt>
                <c:pt idx="112">
                  <c:v>87.324095557843549</c:v>
                </c:pt>
                <c:pt idx="113">
                  <c:v>87.480332647593301</c:v>
                </c:pt>
                <c:pt idx="114">
                  <c:v>87.539332647593312</c:v>
                </c:pt>
                <c:pt idx="115">
                  <c:v>87.565332647593308</c:v>
                </c:pt>
                <c:pt idx="116">
                  <c:v>87.704309846699871</c:v>
                </c:pt>
                <c:pt idx="117">
                  <c:v>87.841098337305979</c:v>
                </c:pt>
                <c:pt idx="118">
                  <c:v>87.841098337305979</c:v>
                </c:pt>
                <c:pt idx="119">
                  <c:v>88.108377568465599</c:v>
                </c:pt>
                <c:pt idx="120">
                  <c:v>88.238994911644753</c:v>
                </c:pt>
                <c:pt idx="121">
                  <c:v>88.367677111752954</c:v>
                </c:pt>
                <c:pt idx="122">
                  <c:v>88.367677111752954</c:v>
                </c:pt>
                <c:pt idx="123">
                  <c:v>88.619459657913367</c:v>
                </c:pt>
                <c:pt idx="124">
                  <c:v>88.864148786253608</c:v>
                </c:pt>
                <c:pt idx="125">
                  <c:v>88.864148786253608</c:v>
                </c:pt>
                <c:pt idx="126">
                  <c:v>88.981456060037345</c:v>
                </c:pt>
                <c:pt idx="127">
                  <c:v>89.058133252247757</c:v>
                </c:pt>
                <c:pt idx="128">
                  <c:v>89.247270703244041</c:v>
                </c:pt>
                <c:pt idx="129">
                  <c:v>89.233770703244033</c:v>
                </c:pt>
                <c:pt idx="130">
                  <c:v>89.233770703244033</c:v>
                </c:pt>
                <c:pt idx="131">
                  <c:v>89.439390911437826</c:v>
                </c:pt>
                <c:pt idx="132">
                  <c:v>89.391890911437827</c:v>
                </c:pt>
                <c:pt idx="133">
                  <c:v>89.346590911437829</c:v>
                </c:pt>
                <c:pt idx="134">
                  <c:v>89.526898597467095</c:v>
                </c:pt>
                <c:pt idx="135">
                  <c:v>89.486098597467105</c:v>
                </c:pt>
                <c:pt idx="136">
                  <c:v>89.479298597467107</c:v>
                </c:pt>
                <c:pt idx="137">
                  <c:v>89.479298597467107</c:v>
                </c:pt>
                <c:pt idx="138">
                  <c:v>89.392840683437043</c:v>
                </c:pt>
                <c:pt idx="139">
                  <c:v>89.438040683437052</c:v>
                </c:pt>
                <c:pt idx="140">
                  <c:v>89.247313361077858</c:v>
                </c:pt>
                <c:pt idx="141">
                  <c:v>89.018724125462228</c:v>
                </c:pt>
                <c:pt idx="142">
                  <c:v>88.902133252247751</c:v>
                </c:pt>
                <c:pt idx="143">
                  <c:v>88.664148786253605</c:v>
                </c:pt>
                <c:pt idx="144">
                  <c:v>88.03899491164475</c:v>
                </c:pt>
                <c:pt idx="145">
                  <c:v>87.365332647593306</c:v>
                </c:pt>
                <c:pt idx="146">
                  <c:v>86.786058728886971</c:v>
                </c:pt>
                <c:pt idx="147">
                  <c:v>86.165374054087607</c:v>
                </c:pt>
                <c:pt idx="148">
                  <c:v>85.496898944348601</c:v>
                </c:pt>
                <c:pt idx="149">
                  <c:v>85.117180747997125</c:v>
                </c:pt>
                <c:pt idx="150">
                  <c:v>84.659512634116851</c:v>
                </c:pt>
                <c:pt idx="151">
                  <c:v>84.572655491259709</c:v>
                </c:pt>
                <c:pt idx="152">
                  <c:v>84.572655491259709</c:v>
                </c:pt>
                <c:pt idx="153">
                  <c:v>84.942323605139975</c:v>
                </c:pt>
                <c:pt idx="154">
                  <c:v>85.322898944348594</c:v>
                </c:pt>
                <c:pt idx="155">
                  <c:v>85.366648944348597</c:v>
                </c:pt>
                <c:pt idx="156">
                  <c:v>85.568902379586959</c:v>
                </c:pt>
                <c:pt idx="157">
                  <c:v>85.568902379586959</c:v>
                </c:pt>
                <c:pt idx="158">
                  <c:v>85.568902379586959</c:v>
                </c:pt>
                <c:pt idx="159">
                  <c:v>85.396898944348607</c:v>
                </c:pt>
                <c:pt idx="160">
                  <c:v>85.396898944348607</c:v>
                </c:pt>
                <c:pt idx="161">
                  <c:v>85.359698944348594</c:v>
                </c:pt>
                <c:pt idx="162">
                  <c:v>85.489102379586953</c:v>
                </c:pt>
                <c:pt idx="163">
                  <c:v>85.46890237958695</c:v>
                </c:pt>
                <c:pt idx="164">
                  <c:v>85.46890237958695</c:v>
                </c:pt>
                <c:pt idx="165">
                  <c:v>85.296898944348598</c:v>
                </c:pt>
                <c:pt idx="166">
                  <c:v>85.296898944348598</c:v>
                </c:pt>
                <c:pt idx="167">
                  <c:v>85.1214204581985</c:v>
                </c:pt>
                <c:pt idx="168">
                  <c:v>85.076511367289413</c:v>
                </c:pt>
                <c:pt idx="169">
                  <c:v>85.030147730925776</c:v>
                </c:pt>
                <c:pt idx="170">
                  <c:v>84.985420458198504</c:v>
                </c:pt>
                <c:pt idx="171">
                  <c:v>84.762323605139983</c:v>
                </c:pt>
                <c:pt idx="172">
                  <c:v>84.946035842813885</c:v>
                </c:pt>
                <c:pt idx="173">
                  <c:v>85.338133148817718</c:v>
                </c:pt>
                <c:pt idx="174">
                  <c:v>86.181259397752243</c:v>
                </c:pt>
                <c:pt idx="175">
                  <c:v>87.204309846699871</c:v>
                </c:pt>
                <c:pt idx="176">
                  <c:v>88.119459657913367</c:v>
                </c:pt>
                <c:pt idx="177">
                  <c:v>88.876437369910704</c:v>
                </c:pt>
                <c:pt idx="178">
                  <c:v>89.144724244771155</c:v>
                </c:pt>
                <c:pt idx="179">
                  <c:v>88.673383252247746</c:v>
                </c:pt>
                <c:pt idx="180">
                  <c:v>87.369848337305982</c:v>
                </c:pt>
                <c:pt idx="181">
                  <c:v>85.261898944348602</c:v>
                </c:pt>
                <c:pt idx="182">
                  <c:v>82.092077198473319</c:v>
                </c:pt>
                <c:pt idx="183">
                  <c:v>77.638098770907845</c:v>
                </c:pt>
                <c:pt idx="184">
                  <c:v>75.139324038741847</c:v>
                </c:pt>
                <c:pt idx="185">
                  <c:v>75.139324038741847</c:v>
                </c:pt>
                <c:pt idx="186">
                  <c:v>76.189635179930548</c:v>
                </c:pt>
                <c:pt idx="187">
                  <c:v>79.495246399490028</c:v>
                </c:pt>
                <c:pt idx="188">
                  <c:v>83.510698684187474</c:v>
                </c:pt>
                <c:pt idx="189">
                  <c:v>86.345259397752244</c:v>
                </c:pt>
                <c:pt idx="190">
                  <c:v>86.855761960539198</c:v>
                </c:pt>
                <c:pt idx="191">
                  <c:v>86.010466933227377</c:v>
                </c:pt>
                <c:pt idx="192">
                  <c:v>83.153481292883129</c:v>
                </c:pt>
                <c:pt idx="193">
                  <c:v>80.526880473760613</c:v>
                </c:pt>
                <c:pt idx="194">
                  <c:v>78.812820770199409</c:v>
                </c:pt>
                <c:pt idx="195">
                  <c:v>76.3925708766848</c:v>
                </c:pt>
                <c:pt idx="196">
                  <c:v>75.21966061842933</c:v>
                </c:pt>
                <c:pt idx="197">
                  <c:v>74.879098510746729</c:v>
                </c:pt>
                <c:pt idx="198">
                  <c:v>74.835098510746732</c:v>
                </c:pt>
                <c:pt idx="199">
                  <c:v>74.789898510746724</c:v>
                </c:pt>
                <c:pt idx="200">
                  <c:v>75.27433442805085</c:v>
                </c:pt>
                <c:pt idx="201">
                  <c:v>76.196856590970512</c:v>
                </c:pt>
                <c:pt idx="202">
                  <c:v>73.424197502227472</c:v>
                </c:pt>
                <c:pt idx="203">
                  <c:v>71.197076698723748</c:v>
                </c:pt>
                <c:pt idx="204">
                  <c:v>72.541699237098285</c:v>
                </c:pt>
                <c:pt idx="205">
                  <c:v>73.094726237859661</c:v>
                </c:pt>
                <c:pt idx="206">
                  <c:v>73.023089874223288</c:v>
                </c:pt>
                <c:pt idx="207">
                  <c:v>71.640517717974674</c:v>
                </c:pt>
                <c:pt idx="208">
                  <c:v>68.070155740324239</c:v>
                </c:pt>
                <c:pt idx="209">
                  <c:v>66.823459657913361</c:v>
                </c:pt>
                <c:pt idx="210">
                  <c:v>65.396523865301106</c:v>
                </c:pt>
                <c:pt idx="211">
                  <c:v>63.761763809213463</c:v>
                </c:pt>
                <c:pt idx="212">
                  <c:v>65.301064405841643</c:v>
                </c:pt>
                <c:pt idx="213">
                  <c:v>65.303523865301102</c:v>
                </c:pt>
                <c:pt idx="214">
                  <c:v>63.763398944348602</c:v>
                </c:pt>
                <c:pt idx="215">
                  <c:v>55.869527342336418</c:v>
                </c:pt>
                <c:pt idx="216">
                  <c:v>59.519923952021472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</c:numCache>
            </c:numRef>
          </c:yVal>
        </c:ser>
        <c:ser>
          <c:idx val="1"/>
          <c:order val="2"/>
          <c:tx>
            <c:strRef>
              <c:f>'W200S-4'!$Q$17</c:f>
              <c:strCache>
                <c:ptCount val="1"/>
                <c:pt idx="0">
                  <c:v>W200S-4 (2)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'W200S-4'!$Q$18:$Q$274</c:f>
              <c:numCache>
                <c:formatCode>General</c:formatCode>
                <c:ptCount val="257"/>
                <c:pt idx="86">
                  <c:v>88.786058728886971</c:v>
                </c:pt>
                <c:pt idx="87">
                  <c:v>88.786058728886971</c:v>
                </c:pt>
                <c:pt idx="88">
                  <c:v>88.786058728886971</c:v>
                </c:pt>
                <c:pt idx="89">
                  <c:v>88.786058728886971</c:v>
                </c:pt>
                <c:pt idx="90">
                  <c:v>88.634995971078041</c:v>
                </c:pt>
                <c:pt idx="91">
                  <c:v>88.324752647513094</c:v>
                </c:pt>
                <c:pt idx="92">
                  <c:v>88.324752647513094</c:v>
                </c:pt>
                <c:pt idx="93">
                  <c:v>88.324752647513094</c:v>
                </c:pt>
                <c:pt idx="94">
                  <c:v>88.165374054087593</c:v>
                </c:pt>
                <c:pt idx="95">
                  <c:v>88.165374054087593</c:v>
                </c:pt>
                <c:pt idx="96">
                  <c:v>88.165374054087593</c:v>
                </c:pt>
                <c:pt idx="97">
                  <c:v>87.837565730324201</c:v>
                </c:pt>
                <c:pt idx="98">
                  <c:v>87.837565730324201</c:v>
                </c:pt>
                <c:pt idx="99">
                  <c:v>87.837565730324201</c:v>
                </c:pt>
                <c:pt idx="100">
                  <c:v>87.837565730324201</c:v>
                </c:pt>
                <c:pt idx="101">
                  <c:v>87.897565730324203</c:v>
                </c:pt>
                <c:pt idx="102">
                  <c:v>87.937565730324195</c:v>
                </c:pt>
                <c:pt idx="103">
                  <c:v>87.937565730324195</c:v>
                </c:pt>
                <c:pt idx="104">
                  <c:v>88.103016249643986</c:v>
                </c:pt>
                <c:pt idx="105">
                  <c:v>88.103016249643986</c:v>
                </c:pt>
                <c:pt idx="106">
                  <c:v>88.103016249643986</c:v>
                </c:pt>
                <c:pt idx="107">
                  <c:v>88.103016249643986</c:v>
                </c:pt>
                <c:pt idx="108">
                  <c:v>88.103016249643986</c:v>
                </c:pt>
                <c:pt idx="109">
                  <c:v>88.103016249643986</c:v>
                </c:pt>
                <c:pt idx="110">
                  <c:v>88.265374054087587</c:v>
                </c:pt>
                <c:pt idx="111">
                  <c:v>88.424752647513088</c:v>
                </c:pt>
                <c:pt idx="112">
                  <c:v>88.424752647513088</c:v>
                </c:pt>
                <c:pt idx="113">
                  <c:v>88.439752647513089</c:v>
                </c:pt>
                <c:pt idx="114">
                  <c:v>88.498752647513101</c:v>
                </c:pt>
                <c:pt idx="115">
                  <c:v>88.681259397752228</c:v>
                </c:pt>
                <c:pt idx="116">
                  <c:v>88.834995971078044</c:v>
                </c:pt>
                <c:pt idx="117">
                  <c:v>88.986058728886974</c:v>
                </c:pt>
                <c:pt idx="118">
                  <c:v>88.986058728886974</c:v>
                </c:pt>
                <c:pt idx="119">
                  <c:v>88.986058728886974</c:v>
                </c:pt>
                <c:pt idx="120">
                  <c:v>89.280523865301092</c:v>
                </c:pt>
                <c:pt idx="121">
                  <c:v>89.424095557843557</c:v>
                </c:pt>
                <c:pt idx="122">
                  <c:v>89.424095557843557</c:v>
                </c:pt>
                <c:pt idx="123">
                  <c:v>89.565332647593308</c:v>
                </c:pt>
                <c:pt idx="124">
                  <c:v>89.841098337305965</c:v>
                </c:pt>
                <c:pt idx="125">
                  <c:v>89.975765990485328</c:v>
                </c:pt>
                <c:pt idx="126">
                  <c:v>90.105877568465601</c:v>
                </c:pt>
                <c:pt idx="127">
                  <c:v>90.323677111752943</c:v>
                </c:pt>
                <c:pt idx="128">
                  <c:v>90.407980672373327</c:v>
                </c:pt>
                <c:pt idx="129">
                  <c:v>90.519459657913345</c:v>
                </c:pt>
                <c:pt idx="130">
                  <c:v>90.519459657913345</c:v>
                </c:pt>
                <c:pt idx="131">
                  <c:v>90.499459657913349</c:v>
                </c:pt>
                <c:pt idx="132">
                  <c:v>90.575165832009716</c:v>
                </c:pt>
                <c:pt idx="133">
                  <c:v>90.651348786253592</c:v>
                </c:pt>
                <c:pt idx="134">
                  <c:v>90.611748786253585</c:v>
                </c:pt>
                <c:pt idx="135">
                  <c:v>90.570948786253595</c:v>
                </c:pt>
                <c:pt idx="136">
                  <c:v>90.564148786253597</c:v>
                </c:pt>
                <c:pt idx="137">
                  <c:v>90.683956060037332</c:v>
                </c:pt>
                <c:pt idx="138">
                  <c:v>90.465465832009713</c:v>
                </c:pt>
                <c:pt idx="139">
                  <c:v>90.262480672373329</c:v>
                </c:pt>
                <c:pt idx="140">
                  <c:v>89.908377568465596</c:v>
                </c:pt>
                <c:pt idx="141">
                  <c:v>89.365332647593306</c:v>
                </c:pt>
                <c:pt idx="142">
                  <c:v>88.786058728886971</c:v>
                </c:pt>
                <c:pt idx="143">
                  <c:v>88.165374054087593</c:v>
                </c:pt>
                <c:pt idx="144">
                  <c:v>87.142323605139964</c:v>
                </c:pt>
                <c:pt idx="145">
                  <c:v>86.386552387351969</c:v>
                </c:pt>
                <c:pt idx="146">
                  <c:v>85.773175992022914</c:v>
                </c:pt>
                <c:pt idx="147">
                  <c:v>85.558698684187462</c:v>
                </c:pt>
                <c:pt idx="148">
                  <c:v>85.338790998158203</c:v>
                </c:pt>
                <c:pt idx="149">
                  <c:v>85.313648141015349</c:v>
                </c:pt>
                <c:pt idx="150">
                  <c:v>85.660033134880052</c:v>
                </c:pt>
                <c:pt idx="151">
                  <c:v>85.986867969219944</c:v>
                </c:pt>
                <c:pt idx="152">
                  <c:v>86.186552387351966</c:v>
                </c:pt>
                <c:pt idx="153">
                  <c:v>86.186552387351966</c:v>
                </c:pt>
                <c:pt idx="154">
                  <c:v>86.407749133135084</c:v>
                </c:pt>
                <c:pt idx="155">
                  <c:v>86.451499133135087</c:v>
                </c:pt>
                <c:pt idx="156">
                  <c:v>86.286552387351975</c:v>
                </c:pt>
                <c:pt idx="157">
                  <c:v>86.086867969219952</c:v>
                </c:pt>
                <c:pt idx="158">
                  <c:v>86.086867969219952</c:v>
                </c:pt>
                <c:pt idx="159">
                  <c:v>86.086867969219952</c:v>
                </c:pt>
                <c:pt idx="160">
                  <c:v>86.086867969219952</c:v>
                </c:pt>
                <c:pt idx="161">
                  <c:v>86.249352387351962</c:v>
                </c:pt>
                <c:pt idx="162">
                  <c:v>86.206752387351969</c:v>
                </c:pt>
                <c:pt idx="163">
                  <c:v>86.186552387351966</c:v>
                </c:pt>
                <c:pt idx="164">
                  <c:v>86.186552387351966</c:v>
                </c:pt>
                <c:pt idx="165">
                  <c:v>85.782484665586225</c:v>
                </c:pt>
                <c:pt idx="166">
                  <c:v>85.782484665586225</c:v>
                </c:pt>
                <c:pt idx="167">
                  <c:v>85.782484665586225</c:v>
                </c:pt>
                <c:pt idx="168">
                  <c:v>85.737575574677138</c:v>
                </c:pt>
                <c:pt idx="169">
                  <c:v>85.691211938313501</c:v>
                </c:pt>
                <c:pt idx="170">
                  <c:v>85.646484665586229</c:v>
                </c:pt>
                <c:pt idx="171">
                  <c:v>85.178698684187466</c:v>
                </c:pt>
                <c:pt idx="172">
                  <c:v>84.963406382773584</c:v>
                </c:pt>
                <c:pt idx="173">
                  <c:v>84.782401559195179</c:v>
                </c:pt>
                <c:pt idx="174">
                  <c:v>85.038790998158206</c:v>
                </c:pt>
                <c:pt idx="175">
                  <c:v>85.473175992022917</c:v>
                </c:pt>
                <c:pt idx="176">
                  <c:v>86.281749133135094</c:v>
                </c:pt>
                <c:pt idx="177">
                  <c:v>87.239565611015252</c:v>
                </c:pt>
                <c:pt idx="178">
                  <c:v>88.571392062220298</c:v>
                </c:pt>
                <c:pt idx="179">
                  <c:v>89.679627568465591</c:v>
                </c:pt>
                <c:pt idx="180">
                  <c:v>91.088140911437833</c:v>
                </c:pt>
                <c:pt idx="181">
                  <c:v>91.344298597467088</c:v>
                </c:pt>
                <c:pt idx="182">
                  <c:v>90.84713325224773</c:v>
                </c:pt>
                <c:pt idx="183">
                  <c:v>88.886058728886965</c:v>
                </c:pt>
                <c:pt idx="184">
                  <c:v>85.213170789964408</c:v>
                </c:pt>
                <c:pt idx="185">
                  <c:v>81.221723691860333</c:v>
                </c:pt>
                <c:pt idx="186">
                  <c:v>79.15572877142165</c:v>
                </c:pt>
                <c:pt idx="187">
                  <c:v>75.815313272186003</c:v>
                </c:pt>
                <c:pt idx="188">
                  <c:v>79.490098770907849</c:v>
                </c:pt>
                <c:pt idx="189">
                  <c:v>85.422698684187466</c:v>
                </c:pt>
                <c:pt idx="190">
                  <c:v>88.855761960539184</c:v>
                </c:pt>
                <c:pt idx="191">
                  <c:v>89.326812623020245</c:v>
                </c:pt>
                <c:pt idx="192">
                  <c:v>87.760156662783245</c:v>
                </c:pt>
                <c:pt idx="193">
                  <c:v>84.580127311703549</c:v>
                </c:pt>
                <c:pt idx="194">
                  <c:v>82.95702016315677</c:v>
                </c:pt>
                <c:pt idx="195">
                  <c:v>80.421723691860336</c:v>
                </c:pt>
                <c:pt idx="196">
                  <c:v>77.922948959694338</c:v>
                </c:pt>
                <c:pt idx="197">
                  <c:v>74.380323778580717</c:v>
                </c:pt>
                <c:pt idx="198">
                  <c:v>75.675259571192981</c:v>
                </c:pt>
                <c:pt idx="199">
                  <c:v>74.291123778580712</c:v>
                </c:pt>
                <c:pt idx="200">
                  <c:v>76.747755653603861</c:v>
                </c:pt>
                <c:pt idx="201">
                  <c:v>78.64238448519356</c:v>
                </c:pt>
                <c:pt idx="202">
                  <c:v>77.607086890728823</c:v>
                </c:pt>
                <c:pt idx="203">
                  <c:v>73.952847916511743</c:v>
                </c:pt>
                <c:pt idx="204">
                  <c:v>72.262832190961561</c:v>
                </c:pt>
                <c:pt idx="205">
                  <c:v>70.233965264133758</c:v>
                </c:pt>
                <c:pt idx="206">
                  <c:v>72.100529160658525</c:v>
                </c:pt>
                <c:pt idx="207">
                  <c:v>73.64051771797466</c:v>
                </c:pt>
                <c:pt idx="208">
                  <c:v>72.008356000485364</c:v>
                </c:pt>
                <c:pt idx="209">
                  <c:v>69.983298597467083</c:v>
                </c:pt>
                <c:pt idx="210">
                  <c:v>67.396523865301091</c:v>
                </c:pt>
                <c:pt idx="211">
                  <c:v>64.651417252216831</c:v>
                </c:pt>
                <c:pt idx="212">
                  <c:v>62.367617739013852</c:v>
                </c:pt>
                <c:pt idx="213">
                  <c:v>62.370077198473311</c:v>
                </c:pt>
                <c:pt idx="214">
                  <c:v>62.413577198473313</c:v>
                </c:pt>
                <c:pt idx="215">
                  <c:v>59.453152263288914</c:v>
                </c:pt>
                <c:pt idx="216">
                  <c:v>64.018698684187456</c:v>
                </c:pt>
                <c:pt idx="217">
                  <c:v>66.091184658634319</c:v>
                </c:pt>
                <c:pt idx="218">
                  <c:v>70.095662233830723</c:v>
                </c:pt>
                <c:pt idx="219">
                  <c:v>71.943862493991858</c:v>
                </c:pt>
                <c:pt idx="220">
                  <c:v>69.889298597467089</c:v>
                </c:pt>
                <c:pt idx="221">
                  <c:v>61.239923952021471</c:v>
                </c:pt>
                <c:pt idx="222">
                  <c:v>61.177523952021474</c:v>
                </c:pt>
                <c:pt idx="223">
                  <c:v>57.699698770907844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</c:numCache>
            </c:numRef>
          </c:yVal>
        </c:ser>
        <c:ser>
          <c:idx val="3"/>
          <c:order val="3"/>
          <c:tx>
            <c:strRef>
              <c:f>'W200S-4'!$R$17</c:f>
              <c:strCache>
                <c:ptCount val="1"/>
                <c:pt idx="0">
                  <c:v>W200S-4 (3)</c:v>
                </c:pt>
              </c:strCache>
            </c:strRef>
          </c:tx>
          <c:spPr>
            <a:ln w="6350">
              <a:solidFill>
                <a:srgbClr val="FF9900"/>
              </a:solidFill>
            </a:ln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'W200S-4'!$R$18:$R$274</c:f>
              <c:numCache>
                <c:formatCode>General</c:formatCode>
                <c:ptCount val="257"/>
                <c:pt idx="86">
                  <c:v>89.338790998158203</c:v>
                </c:pt>
                <c:pt idx="87">
                  <c:v>89.338790998158203</c:v>
                </c:pt>
                <c:pt idx="88">
                  <c:v>89.338790998158203</c:v>
                </c:pt>
                <c:pt idx="89">
                  <c:v>89.338790998158203</c:v>
                </c:pt>
                <c:pt idx="90">
                  <c:v>89.338790998158203</c:v>
                </c:pt>
                <c:pt idx="91">
                  <c:v>89.113170789964414</c:v>
                </c:pt>
                <c:pt idx="92">
                  <c:v>88.881533338968111</c:v>
                </c:pt>
                <c:pt idx="93">
                  <c:v>88.643548872973966</c:v>
                </c:pt>
                <c:pt idx="94">
                  <c:v>88.398859744633725</c:v>
                </c:pt>
                <c:pt idx="95">
                  <c:v>88.147077198473326</c:v>
                </c:pt>
                <c:pt idx="96">
                  <c:v>87.887777655185971</c:v>
                </c:pt>
                <c:pt idx="97">
                  <c:v>87.887777655185971</c:v>
                </c:pt>
                <c:pt idx="98">
                  <c:v>87.887777655185971</c:v>
                </c:pt>
                <c:pt idx="99">
                  <c:v>87.887777655185971</c:v>
                </c:pt>
                <c:pt idx="100">
                  <c:v>87.620498424026337</c:v>
                </c:pt>
                <c:pt idx="101">
                  <c:v>87.680498424026339</c:v>
                </c:pt>
                <c:pt idx="102">
                  <c:v>87.720498424026331</c:v>
                </c:pt>
                <c:pt idx="103">
                  <c:v>87.720498424026331</c:v>
                </c:pt>
                <c:pt idx="104">
                  <c:v>87.720498424026331</c:v>
                </c:pt>
                <c:pt idx="105">
                  <c:v>87.720498424026331</c:v>
                </c:pt>
                <c:pt idx="106">
                  <c:v>87.720498424026331</c:v>
                </c:pt>
                <c:pt idx="107">
                  <c:v>87.720498424026331</c:v>
                </c:pt>
                <c:pt idx="108">
                  <c:v>87.720498424026331</c:v>
                </c:pt>
                <c:pt idx="109">
                  <c:v>87.720498424026331</c:v>
                </c:pt>
                <c:pt idx="110">
                  <c:v>87.774616291544831</c:v>
                </c:pt>
                <c:pt idx="111">
                  <c:v>87.881850858986994</c:v>
                </c:pt>
                <c:pt idx="112">
                  <c:v>87.987777655185965</c:v>
                </c:pt>
                <c:pt idx="113">
                  <c:v>88.002777655185966</c:v>
                </c:pt>
                <c:pt idx="114">
                  <c:v>88.061777655185978</c:v>
                </c:pt>
                <c:pt idx="115">
                  <c:v>88.087777655185974</c:v>
                </c:pt>
                <c:pt idx="116">
                  <c:v>88.087777655185974</c:v>
                </c:pt>
                <c:pt idx="117">
                  <c:v>88.192428193859513</c:v>
                </c:pt>
                <c:pt idx="118">
                  <c:v>88.347077198473329</c:v>
                </c:pt>
                <c:pt idx="119">
                  <c:v>88.448667709058824</c:v>
                </c:pt>
                <c:pt idx="120">
                  <c:v>88.499020833483755</c:v>
                </c:pt>
                <c:pt idx="121">
                  <c:v>88.598859744633728</c:v>
                </c:pt>
                <c:pt idx="122">
                  <c:v>88.746498817085737</c:v>
                </c:pt>
                <c:pt idx="123">
                  <c:v>89.081533338968114</c:v>
                </c:pt>
                <c:pt idx="124">
                  <c:v>89.221255756181449</c:v>
                </c:pt>
                <c:pt idx="125">
                  <c:v>89.313170789964417</c:v>
                </c:pt>
                <c:pt idx="126">
                  <c:v>89.401623344978844</c:v>
                </c:pt>
                <c:pt idx="127">
                  <c:v>89.627402576138465</c:v>
                </c:pt>
                <c:pt idx="128">
                  <c:v>89.672198684187464</c:v>
                </c:pt>
                <c:pt idx="129">
                  <c:v>89.745126159840325</c:v>
                </c:pt>
                <c:pt idx="130">
                  <c:v>89.99936547016307</c:v>
                </c:pt>
                <c:pt idx="131">
                  <c:v>90.266867969219959</c:v>
                </c:pt>
                <c:pt idx="132">
                  <c:v>90.419052387351968</c:v>
                </c:pt>
                <c:pt idx="133">
                  <c:v>90.373752387351971</c:v>
                </c:pt>
                <c:pt idx="134">
                  <c:v>90.334152387351963</c:v>
                </c:pt>
                <c:pt idx="135">
                  <c:v>90.293352387351973</c:v>
                </c:pt>
                <c:pt idx="136">
                  <c:v>90.286552387351975</c:v>
                </c:pt>
                <c:pt idx="137">
                  <c:v>90.086867969219966</c:v>
                </c:pt>
                <c:pt idx="138">
                  <c:v>89.905284665586223</c:v>
                </c:pt>
                <c:pt idx="139">
                  <c:v>89.526698684187465</c:v>
                </c:pt>
                <c:pt idx="140">
                  <c:v>89.113170789964414</c:v>
                </c:pt>
                <c:pt idx="141">
                  <c:v>88.643548872973966</c:v>
                </c:pt>
                <c:pt idx="142">
                  <c:v>88.147077198473326</c:v>
                </c:pt>
                <c:pt idx="143">
                  <c:v>87.059923952021464</c:v>
                </c:pt>
                <c:pt idx="144">
                  <c:v>86.765458815607346</c:v>
                </c:pt>
                <c:pt idx="145">
                  <c:v>86.4606594844726</c:v>
                </c:pt>
                <c:pt idx="146">
                  <c:v>85.816965817044576</c:v>
                </c:pt>
                <c:pt idx="147">
                  <c:v>85.121723691860339</c:v>
                </c:pt>
                <c:pt idx="148">
                  <c:v>85.121723691860339</c:v>
                </c:pt>
                <c:pt idx="149">
                  <c:v>85.096580834717486</c:v>
                </c:pt>
                <c:pt idx="150">
                  <c:v>85.008580834717478</c:v>
                </c:pt>
                <c:pt idx="151">
                  <c:v>85.276299031068959</c:v>
                </c:pt>
                <c:pt idx="152">
                  <c:v>85.944774140807965</c:v>
                </c:pt>
                <c:pt idx="153">
                  <c:v>86.260659484472598</c:v>
                </c:pt>
                <c:pt idx="154">
                  <c:v>86.286659484472594</c:v>
                </c:pt>
                <c:pt idx="155">
                  <c:v>86.330409484472597</c:v>
                </c:pt>
                <c:pt idx="156">
                  <c:v>86.360659484472606</c:v>
                </c:pt>
                <c:pt idx="157">
                  <c:v>86.044774140807974</c:v>
                </c:pt>
                <c:pt idx="158">
                  <c:v>86.044774140807974</c:v>
                </c:pt>
                <c:pt idx="159">
                  <c:v>86.044774140807974</c:v>
                </c:pt>
                <c:pt idx="160">
                  <c:v>86.044774140807974</c:v>
                </c:pt>
                <c:pt idx="161">
                  <c:v>86.007574140807961</c:v>
                </c:pt>
                <c:pt idx="162">
                  <c:v>85.964974140807968</c:v>
                </c:pt>
                <c:pt idx="163">
                  <c:v>86.260659484472598</c:v>
                </c:pt>
                <c:pt idx="164">
                  <c:v>86.260659484472598</c:v>
                </c:pt>
                <c:pt idx="165">
                  <c:v>86.260659484472598</c:v>
                </c:pt>
                <c:pt idx="166">
                  <c:v>86.260659484472598</c:v>
                </c:pt>
                <c:pt idx="167">
                  <c:v>86.260659484472598</c:v>
                </c:pt>
                <c:pt idx="168">
                  <c:v>86.215750393563511</c:v>
                </c:pt>
                <c:pt idx="169">
                  <c:v>85.853501413535241</c:v>
                </c:pt>
                <c:pt idx="170">
                  <c:v>85.480965817044577</c:v>
                </c:pt>
                <c:pt idx="171">
                  <c:v>85.43696581704458</c:v>
                </c:pt>
                <c:pt idx="172">
                  <c:v>85.441581201659957</c:v>
                </c:pt>
                <c:pt idx="173">
                  <c:v>86.129890253703365</c:v>
                </c:pt>
                <c:pt idx="174">
                  <c:v>86.759923952021467</c:v>
                </c:pt>
                <c:pt idx="175">
                  <c:v>87.847077198473329</c:v>
                </c:pt>
                <c:pt idx="176">
                  <c:v>89.038790998158206</c:v>
                </c:pt>
                <c:pt idx="177">
                  <c:v>90.129219054018634</c:v>
                </c:pt>
                <c:pt idx="178">
                  <c:v>90.744789349675898</c:v>
                </c:pt>
                <c:pt idx="179">
                  <c:v>90.913573605139959</c:v>
                </c:pt>
                <c:pt idx="180">
                  <c:v>90.871073605139969</c:v>
                </c:pt>
                <c:pt idx="181">
                  <c:v>88.408548872973967</c:v>
                </c:pt>
                <c:pt idx="182">
                  <c:v>85.761965817044569</c:v>
                </c:pt>
                <c:pt idx="183">
                  <c:v>81.699898510746706</c:v>
                </c:pt>
                <c:pt idx="184">
                  <c:v>77.61749885762822</c:v>
                </c:pt>
                <c:pt idx="185">
                  <c:v>76.70234904641471</c:v>
                </c:pt>
                <c:pt idx="186">
                  <c:v>77.580656752365073</c:v>
                </c:pt>
                <c:pt idx="187">
                  <c:v>81.618845879167765</c:v>
                </c:pt>
                <c:pt idx="188">
                  <c:v>85.42829903106896</c:v>
                </c:pt>
                <c:pt idx="189">
                  <c:v>87.484498424026341</c:v>
                </c:pt>
                <c:pt idx="190">
                  <c:v>87.395736519264432</c:v>
                </c:pt>
                <c:pt idx="191">
                  <c:v>85.502680102758859</c:v>
                </c:pt>
                <c:pt idx="192">
                  <c:v>81.721259893889354</c:v>
                </c:pt>
                <c:pt idx="193">
                  <c:v>79.90701609293211</c:v>
                </c:pt>
                <c:pt idx="194">
                  <c:v>77.681874299923152</c:v>
                </c:pt>
                <c:pt idx="195">
                  <c:v>74.879298597467084</c:v>
                </c:pt>
                <c:pt idx="196">
                  <c:v>73.719459657913347</c:v>
                </c:pt>
                <c:pt idx="197">
                  <c:v>73.187577568465599</c:v>
                </c:pt>
                <c:pt idx="198">
                  <c:v>75.837549046414722</c:v>
                </c:pt>
                <c:pt idx="199">
                  <c:v>76.170055929622194</c:v>
                </c:pt>
                <c:pt idx="200">
                  <c:v>76.665356000485374</c:v>
                </c:pt>
                <c:pt idx="201">
                  <c:v>76.621784571913935</c:v>
                </c:pt>
                <c:pt idx="202">
                  <c:v>73.403597588947832</c:v>
                </c:pt>
                <c:pt idx="203">
                  <c:v>71.332983535683255</c:v>
                </c:pt>
                <c:pt idx="204">
                  <c:v>70.910707387420928</c:v>
                </c:pt>
                <c:pt idx="205">
                  <c:v>70.820040720754264</c:v>
                </c:pt>
                <c:pt idx="206">
                  <c:v>70.748404357117892</c:v>
                </c:pt>
                <c:pt idx="207">
                  <c:v>70.704767993481539</c:v>
                </c:pt>
                <c:pt idx="208">
                  <c:v>69.263512634116836</c:v>
                </c:pt>
                <c:pt idx="209">
                  <c:v>67.962698684187458</c:v>
                </c:pt>
                <c:pt idx="210">
                  <c:v>65.375923952021466</c:v>
                </c:pt>
                <c:pt idx="211">
                  <c:v>62.630817338937206</c:v>
                </c:pt>
                <c:pt idx="212">
                  <c:v>61.758639311448391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</c:numCache>
            </c:numRef>
          </c:yVal>
        </c:ser>
        <c:axId val="90105728"/>
        <c:axId val="92713344"/>
      </c:scatterChart>
      <c:valAx>
        <c:axId val="90105728"/>
        <c:scaling>
          <c:logBase val="10"/>
          <c:orientation val="minMax"/>
          <c:max val="3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9196528508552009"/>
              <c:y val="0.86535688247302889"/>
            </c:manualLayout>
          </c:layout>
        </c:title>
        <c:numFmt formatCode="General" sourceLinked="1"/>
        <c:tickLblPos val="nextTo"/>
        <c:crossAx val="92713344"/>
        <c:crossesAt val="-30"/>
        <c:crossBetween val="midCat"/>
      </c:valAx>
      <c:valAx>
        <c:axId val="92713344"/>
        <c:scaling>
          <c:orientation val="minMax"/>
          <c:max val="100"/>
          <c:min val="6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[dB]</a:t>
                </a:r>
              </a:p>
            </c:rich>
          </c:tx>
          <c:layout>
            <c:manualLayout>
              <c:xMode val="edge"/>
              <c:yMode val="edge"/>
              <c:x val="0"/>
              <c:y val="6.4734450561686724E-2"/>
            </c:manualLayout>
          </c:layout>
        </c:title>
        <c:numFmt formatCode="General" sourceLinked="1"/>
        <c:tickLblPos val="nextTo"/>
        <c:crossAx val="90105728"/>
        <c:crosses val="autoZero"/>
        <c:crossBetween val="midCat"/>
        <c:majorUnit val="5"/>
      </c:valAx>
    </c:plotArea>
    <c:legend>
      <c:legendPos val="b"/>
      <c:layout>
        <c:manualLayout>
          <c:xMode val="edge"/>
          <c:yMode val="edge"/>
          <c:x val="0.11378472305190611"/>
          <c:y val="0.91628280839894949"/>
          <c:w val="0.77243055389618975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5057643111066976"/>
          <c:y val="5.1400554097404488E-2"/>
          <c:w val="0.7864024718429099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'G20SC-8'!$I$17</c:f>
              <c:strCache>
                <c:ptCount val="1"/>
                <c:pt idx="0">
                  <c:v>G20SC-8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'G20SC-8'!$B$18:$B$274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'G20SC-8'!$J$18:$J$274</c:f>
              <c:numCache>
                <c:formatCode>General</c:formatCode>
                <c:ptCount val="257"/>
                <c:pt idx="0">
                  <c:v>153.58000000000001</c:v>
                </c:pt>
                <c:pt idx="1">
                  <c:v>153.30000000000001</c:v>
                </c:pt>
                <c:pt idx="2">
                  <c:v>153.02000000000001</c:v>
                </c:pt>
                <c:pt idx="3">
                  <c:v>152.74</c:v>
                </c:pt>
                <c:pt idx="4">
                  <c:v>152.47</c:v>
                </c:pt>
                <c:pt idx="5">
                  <c:v>152.19999999999999</c:v>
                </c:pt>
                <c:pt idx="6">
                  <c:v>151.93</c:v>
                </c:pt>
                <c:pt idx="7">
                  <c:v>151.66999999999999</c:v>
                </c:pt>
                <c:pt idx="8">
                  <c:v>151.41</c:v>
                </c:pt>
                <c:pt idx="9">
                  <c:v>151.16</c:v>
                </c:pt>
                <c:pt idx="10">
                  <c:v>150.91999999999999</c:v>
                </c:pt>
                <c:pt idx="11">
                  <c:v>150.69</c:v>
                </c:pt>
                <c:pt idx="12">
                  <c:v>150.46</c:v>
                </c:pt>
                <c:pt idx="13">
                  <c:v>150.24</c:v>
                </c:pt>
                <c:pt idx="14">
                  <c:v>150.04</c:v>
                </c:pt>
                <c:pt idx="15">
                  <c:v>149.84</c:v>
                </c:pt>
                <c:pt idx="16">
                  <c:v>149.66</c:v>
                </c:pt>
                <c:pt idx="17">
                  <c:v>149.49</c:v>
                </c:pt>
                <c:pt idx="18">
                  <c:v>149.34</c:v>
                </c:pt>
                <c:pt idx="19">
                  <c:v>149.19999999999999</c:v>
                </c:pt>
                <c:pt idx="20">
                  <c:v>149.08000000000001</c:v>
                </c:pt>
                <c:pt idx="21">
                  <c:v>148.97</c:v>
                </c:pt>
                <c:pt idx="22">
                  <c:v>148.88</c:v>
                </c:pt>
                <c:pt idx="23">
                  <c:v>148.81</c:v>
                </c:pt>
                <c:pt idx="24">
                  <c:v>148.76</c:v>
                </c:pt>
                <c:pt idx="25">
                  <c:v>148.72999999999999</c:v>
                </c:pt>
                <c:pt idx="26">
                  <c:v>148.72</c:v>
                </c:pt>
                <c:pt idx="27">
                  <c:v>148.72999999999999</c:v>
                </c:pt>
                <c:pt idx="28">
                  <c:v>148.77000000000001</c:v>
                </c:pt>
                <c:pt idx="29">
                  <c:v>148.83000000000001</c:v>
                </c:pt>
                <c:pt idx="30">
                  <c:v>148.91</c:v>
                </c:pt>
                <c:pt idx="31">
                  <c:v>149.03</c:v>
                </c:pt>
                <c:pt idx="32">
                  <c:v>149.16</c:v>
                </c:pt>
                <c:pt idx="33">
                  <c:v>149.33000000000001</c:v>
                </c:pt>
                <c:pt idx="34">
                  <c:v>149.52000000000001</c:v>
                </c:pt>
                <c:pt idx="35">
                  <c:v>149.74</c:v>
                </c:pt>
                <c:pt idx="36">
                  <c:v>150</c:v>
                </c:pt>
                <c:pt idx="37">
                  <c:v>150.28</c:v>
                </c:pt>
                <c:pt idx="38">
                  <c:v>150.59</c:v>
                </c:pt>
                <c:pt idx="39">
                  <c:v>150.94</c:v>
                </c:pt>
                <c:pt idx="40">
                  <c:v>151.32</c:v>
                </c:pt>
                <c:pt idx="41">
                  <c:v>151.72999999999999</c:v>
                </c:pt>
                <c:pt idx="42">
                  <c:v>152.16999999999999</c:v>
                </c:pt>
                <c:pt idx="43">
                  <c:v>152.65</c:v>
                </c:pt>
                <c:pt idx="44">
                  <c:v>153.16</c:v>
                </c:pt>
                <c:pt idx="45">
                  <c:v>153.69999999999999</c:v>
                </c:pt>
                <c:pt idx="46">
                  <c:v>154.28</c:v>
                </c:pt>
                <c:pt idx="47">
                  <c:v>154.9</c:v>
                </c:pt>
                <c:pt idx="48">
                  <c:v>155.55000000000001</c:v>
                </c:pt>
                <c:pt idx="49">
                  <c:v>156.22999999999999</c:v>
                </c:pt>
                <c:pt idx="50">
                  <c:v>156.94999999999999</c:v>
                </c:pt>
                <c:pt idx="51">
                  <c:v>157.71</c:v>
                </c:pt>
                <c:pt idx="52">
                  <c:v>158.5</c:v>
                </c:pt>
                <c:pt idx="53">
                  <c:v>159.32</c:v>
                </c:pt>
                <c:pt idx="54">
                  <c:v>160.18</c:v>
                </c:pt>
                <c:pt idx="55">
                  <c:v>161.08000000000001</c:v>
                </c:pt>
                <c:pt idx="56">
                  <c:v>162.01</c:v>
                </c:pt>
                <c:pt idx="57">
                  <c:v>162.97</c:v>
                </c:pt>
                <c:pt idx="58">
                  <c:v>163.96</c:v>
                </c:pt>
                <c:pt idx="59">
                  <c:v>164.98</c:v>
                </c:pt>
                <c:pt idx="60">
                  <c:v>166.04</c:v>
                </c:pt>
                <c:pt idx="61">
                  <c:v>167.12</c:v>
                </c:pt>
                <c:pt idx="62">
                  <c:v>168.23</c:v>
                </c:pt>
                <c:pt idx="63">
                  <c:v>169.37</c:v>
                </c:pt>
                <c:pt idx="64">
                  <c:v>170.53</c:v>
                </c:pt>
                <c:pt idx="65">
                  <c:v>171.71</c:v>
                </c:pt>
                <c:pt idx="66">
                  <c:v>172.91</c:v>
                </c:pt>
                <c:pt idx="67">
                  <c:v>174.13</c:v>
                </c:pt>
                <c:pt idx="68">
                  <c:v>175.37</c:v>
                </c:pt>
                <c:pt idx="69">
                  <c:v>176.62</c:v>
                </c:pt>
                <c:pt idx="70">
                  <c:v>177.87</c:v>
                </c:pt>
                <c:pt idx="71">
                  <c:v>179.13</c:v>
                </c:pt>
                <c:pt idx="72">
                  <c:v>-179.6</c:v>
                </c:pt>
                <c:pt idx="73">
                  <c:v>-178.4</c:v>
                </c:pt>
                <c:pt idx="74">
                  <c:v>-177.1</c:v>
                </c:pt>
                <c:pt idx="75">
                  <c:v>-175.9</c:v>
                </c:pt>
                <c:pt idx="76">
                  <c:v>-174.7</c:v>
                </c:pt>
                <c:pt idx="77">
                  <c:v>-173.5</c:v>
                </c:pt>
                <c:pt idx="78">
                  <c:v>-172.4</c:v>
                </c:pt>
                <c:pt idx="79">
                  <c:v>-171.3</c:v>
                </c:pt>
                <c:pt idx="80">
                  <c:v>-170.3</c:v>
                </c:pt>
                <c:pt idx="81">
                  <c:v>-169.3</c:v>
                </c:pt>
                <c:pt idx="82">
                  <c:v>-168.4</c:v>
                </c:pt>
                <c:pt idx="83">
                  <c:v>-167.6</c:v>
                </c:pt>
                <c:pt idx="84">
                  <c:v>-166.9</c:v>
                </c:pt>
                <c:pt idx="85">
                  <c:v>-166.2</c:v>
                </c:pt>
                <c:pt idx="86">
                  <c:v>-167.4</c:v>
                </c:pt>
                <c:pt idx="87">
                  <c:v>-166.6</c:v>
                </c:pt>
                <c:pt idx="88">
                  <c:v>-166.6</c:v>
                </c:pt>
                <c:pt idx="89">
                  <c:v>-168.3</c:v>
                </c:pt>
                <c:pt idx="90">
                  <c:v>-169.3</c:v>
                </c:pt>
                <c:pt idx="91">
                  <c:v>-169.2</c:v>
                </c:pt>
                <c:pt idx="92">
                  <c:v>-169.9</c:v>
                </c:pt>
                <c:pt idx="93">
                  <c:v>-171</c:v>
                </c:pt>
                <c:pt idx="94">
                  <c:v>-171.6</c:v>
                </c:pt>
                <c:pt idx="95">
                  <c:v>-171.7</c:v>
                </c:pt>
                <c:pt idx="96">
                  <c:v>-171.2</c:v>
                </c:pt>
                <c:pt idx="97">
                  <c:v>-171.6</c:v>
                </c:pt>
                <c:pt idx="98">
                  <c:v>-172.8</c:v>
                </c:pt>
                <c:pt idx="99">
                  <c:v>-173.5</c:v>
                </c:pt>
                <c:pt idx="100">
                  <c:v>-174.3</c:v>
                </c:pt>
                <c:pt idx="101">
                  <c:v>-174.8</c:v>
                </c:pt>
                <c:pt idx="102">
                  <c:v>-174.4</c:v>
                </c:pt>
                <c:pt idx="103">
                  <c:v>-173.5</c:v>
                </c:pt>
                <c:pt idx="104">
                  <c:v>-173</c:v>
                </c:pt>
                <c:pt idx="105">
                  <c:v>-173.5</c:v>
                </c:pt>
                <c:pt idx="106">
                  <c:v>-174</c:v>
                </c:pt>
                <c:pt idx="107">
                  <c:v>-174.4</c:v>
                </c:pt>
                <c:pt idx="108">
                  <c:v>-174.9</c:v>
                </c:pt>
                <c:pt idx="109">
                  <c:v>-175.5</c:v>
                </c:pt>
                <c:pt idx="110">
                  <c:v>-176.6</c:v>
                </c:pt>
                <c:pt idx="111">
                  <c:v>-177.5</c:v>
                </c:pt>
                <c:pt idx="112">
                  <c:v>-178.1</c:v>
                </c:pt>
                <c:pt idx="113">
                  <c:v>-179.4</c:v>
                </c:pt>
                <c:pt idx="114">
                  <c:v>178.23</c:v>
                </c:pt>
                <c:pt idx="115">
                  <c:v>175.2</c:v>
                </c:pt>
                <c:pt idx="116">
                  <c:v>172.48</c:v>
                </c:pt>
                <c:pt idx="117">
                  <c:v>170.46</c:v>
                </c:pt>
                <c:pt idx="118">
                  <c:v>169.08</c:v>
                </c:pt>
                <c:pt idx="119">
                  <c:v>168.25</c:v>
                </c:pt>
                <c:pt idx="120">
                  <c:v>167.65</c:v>
                </c:pt>
                <c:pt idx="121">
                  <c:v>166.28</c:v>
                </c:pt>
                <c:pt idx="122">
                  <c:v>164.16</c:v>
                </c:pt>
                <c:pt idx="123">
                  <c:v>162.99</c:v>
                </c:pt>
                <c:pt idx="124">
                  <c:v>162.37</c:v>
                </c:pt>
                <c:pt idx="125">
                  <c:v>160.91999999999999</c:v>
                </c:pt>
                <c:pt idx="126">
                  <c:v>158.99</c:v>
                </c:pt>
                <c:pt idx="127">
                  <c:v>158.18</c:v>
                </c:pt>
                <c:pt idx="128">
                  <c:v>158.41999999999999</c:v>
                </c:pt>
                <c:pt idx="129">
                  <c:v>157.51</c:v>
                </c:pt>
                <c:pt idx="130">
                  <c:v>155.9</c:v>
                </c:pt>
                <c:pt idx="131">
                  <c:v>153.97</c:v>
                </c:pt>
                <c:pt idx="132">
                  <c:v>150.80000000000001</c:v>
                </c:pt>
                <c:pt idx="133">
                  <c:v>149.72999999999999</c:v>
                </c:pt>
                <c:pt idx="134">
                  <c:v>153.15</c:v>
                </c:pt>
                <c:pt idx="135">
                  <c:v>155.93</c:v>
                </c:pt>
                <c:pt idx="136">
                  <c:v>154.97999999999999</c:v>
                </c:pt>
                <c:pt idx="137">
                  <c:v>152.06</c:v>
                </c:pt>
                <c:pt idx="138">
                  <c:v>148.83000000000001</c:v>
                </c:pt>
                <c:pt idx="139">
                  <c:v>145.44999999999999</c:v>
                </c:pt>
                <c:pt idx="140">
                  <c:v>140.94</c:v>
                </c:pt>
                <c:pt idx="141">
                  <c:v>135.36000000000001</c:v>
                </c:pt>
                <c:pt idx="142">
                  <c:v>131.16</c:v>
                </c:pt>
                <c:pt idx="143">
                  <c:v>129.75</c:v>
                </c:pt>
                <c:pt idx="144">
                  <c:v>128.97</c:v>
                </c:pt>
                <c:pt idx="145">
                  <c:v>128.30000000000001</c:v>
                </c:pt>
                <c:pt idx="146">
                  <c:v>127.92</c:v>
                </c:pt>
                <c:pt idx="147">
                  <c:v>127.04</c:v>
                </c:pt>
                <c:pt idx="148">
                  <c:v>125.03</c:v>
                </c:pt>
                <c:pt idx="149">
                  <c:v>121.47</c:v>
                </c:pt>
                <c:pt idx="150">
                  <c:v>116.17</c:v>
                </c:pt>
                <c:pt idx="151">
                  <c:v>110.18</c:v>
                </c:pt>
                <c:pt idx="152">
                  <c:v>105.46</c:v>
                </c:pt>
                <c:pt idx="153">
                  <c:v>103.31</c:v>
                </c:pt>
                <c:pt idx="154">
                  <c:v>102.48</c:v>
                </c:pt>
                <c:pt idx="155">
                  <c:v>100.22</c:v>
                </c:pt>
                <c:pt idx="156">
                  <c:v>95.855000000000004</c:v>
                </c:pt>
                <c:pt idx="157">
                  <c:v>91.614999999999995</c:v>
                </c:pt>
                <c:pt idx="158">
                  <c:v>89.275999999999996</c:v>
                </c:pt>
                <c:pt idx="159">
                  <c:v>89.47</c:v>
                </c:pt>
                <c:pt idx="160">
                  <c:v>90.563000000000002</c:v>
                </c:pt>
                <c:pt idx="161">
                  <c:v>90.075000000000003</c:v>
                </c:pt>
                <c:pt idx="162">
                  <c:v>88.352000000000004</c:v>
                </c:pt>
                <c:pt idx="163">
                  <c:v>87.233000000000004</c:v>
                </c:pt>
                <c:pt idx="164">
                  <c:v>85.563999999999993</c:v>
                </c:pt>
                <c:pt idx="165">
                  <c:v>80.623999999999995</c:v>
                </c:pt>
                <c:pt idx="166">
                  <c:v>73.307000000000002</c:v>
                </c:pt>
                <c:pt idx="167">
                  <c:v>66.611999999999995</c:v>
                </c:pt>
                <c:pt idx="168">
                  <c:v>63.732999999999997</c:v>
                </c:pt>
                <c:pt idx="169">
                  <c:v>64.947000000000003</c:v>
                </c:pt>
                <c:pt idx="170">
                  <c:v>67.099000000000004</c:v>
                </c:pt>
                <c:pt idx="171">
                  <c:v>65.789000000000001</c:v>
                </c:pt>
                <c:pt idx="172">
                  <c:v>57.338999999999999</c:v>
                </c:pt>
                <c:pt idx="173">
                  <c:v>45.402999999999999</c:v>
                </c:pt>
                <c:pt idx="174">
                  <c:v>37.197000000000003</c:v>
                </c:pt>
                <c:pt idx="175">
                  <c:v>33.948999999999998</c:v>
                </c:pt>
                <c:pt idx="176">
                  <c:v>32.222999999999999</c:v>
                </c:pt>
                <c:pt idx="177">
                  <c:v>30.817</c:v>
                </c:pt>
                <c:pt idx="178">
                  <c:v>29.117999999999999</c:v>
                </c:pt>
                <c:pt idx="179">
                  <c:v>26.367999999999999</c:v>
                </c:pt>
                <c:pt idx="180">
                  <c:v>23.812000000000001</c:v>
                </c:pt>
                <c:pt idx="181">
                  <c:v>19.856000000000002</c:v>
                </c:pt>
                <c:pt idx="182">
                  <c:v>12.587999999999999</c:v>
                </c:pt>
                <c:pt idx="183">
                  <c:v>9.5685000000000002</c:v>
                </c:pt>
                <c:pt idx="184">
                  <c:v>16.759</c:v>
                </c:pt>
                <c:pt idx="185">
                  <c:v>25.355</c:v>
                </c:pt>
                <c:pt idx="186">
                  <c:v>27.625</c:v>
                </c:pt>
                <c:pt idx="187">
                  <c:v>30.888000000000002</c:v>
                </c:pt>
                <c:pt idx="188">
                  <c:v>35.347999999999999</c:v>
                </c:pt>
                <c:pt idx="189">
                  <c:v>40.445</c:v>
                </c:pt>
                <c:pt idx="190">
                  <c:v>41.817999999999998</c:v>
                </c:pt>
                <c:pt idx="191">
                  <c:v>33.642000000000003</c:v>
                </c:pt>
                <c:pt idx="192">
                  <c:v>24.803999999999998</c:v>
                </c:pt>
                <c:pt idx="193">
                  <c:v>15.01</c:v>
                </c:pt>
                <c:pt idx="194">
                  <c:v>10.864000000000001</c:v>
                </c:pt>
                <c:pt idx="195">
                  <c:v>11.01</c:v>
                </c:pt>
                <c:pt idx="196">
                  <c:v>7.8826999999999998</c:v>
                </c:pt>
                <c:pt idx="197">
                  <c:v>5.8677999999999999</c:v>
                </c:pt>
                <c:pt idx="198">
                  <c:v>-0.49199999999999999</c:v>
                </c:pt>
                <c:pt idx="199">
                  <c:v>-7.0810000000000004</c:v>
                </c:pt>
                <c:pt idx="200">
                  <c:v>-9.173</c:v>
                </c:pt>
                <c:pt idx="201">
                  <c:v>-4.9610000000000003</c:v>
                </c:pt>
                <c:pt idx="202">
                  <c:v>-14.08</c:v>
                </c:pt>
                <c:pt idx="203">
                  <c:v>-29.58</c:v>
                </c:pt>
                <c:pt idx="204">
                  <c:v>-39.94</c:v>
                </c:pt>
                <c:pt idx="205">
                  <c:v>-35.549999999999997</c:v>
                </c:pt>
                <c:pt idx="206">
                  <c:v>-33.36</c:v>
                </c:pt>
                <c:pt idx="207">
                  <c:v>-42.24</c:v>
                </c:pt>
                <c:pt idx="208">
                  <c:v>-42.58</c:v>
                </c:pt>
                <c:pt idx="209">
                  <c:v>-35.090000000000003</c:v>
                </c:pt>
                <c:pt idx="210">
                  <c:v>-30.34</c:v>
                </c:pt>
                <c:pt idx="211">
                  <c:v>-26.84</c:v>
                </c:pt>
                <c:pt idx="212">
                  <c:v>-14.64</c:v>
                </c:pt>
                <c:pt idx="213">
                  <c:v>-2.2349999999999999</c:v>
                </c:pt>
                <c:pt idx="214">
                  <c:v>8.0989000000000004</c:v>
                </c:pt>
                <c:pt idx="215">
                  <c:v>17.106999999999999</c:v>
                </c:pt>
                <c:pt idx="216">
                  <c:v>12.6</c:v>
                </c:pt>
                <c:pt idx="217">
                  <c:v>-6.7190000000000003</c:v>
                </c:pt>
                <c:pt idx="218">
                  <c:v>-20.32</c:v>
                </c:pt>
                <c:pt idx="219">
                  <c:v>-21.99</c:v>
                </c:pt>
                <c:pt idx="220">
                  <c:v>-24</c:v>
                </c:pt>
                <c:pt idx="221">
                  <c:v>-29.63</c:v>
                </c:pt>
                <c:pt idx="222">
                  <c:v>-36.89</c:v>
                </c:pt>
                <c:pt idx="223">
                  <c:v>-43.91</c:v>
                </c:pt>
                <c:pt idx="224">
                  <c:v>-50.56</c:v>
                </c:pt>
                <c:pt idx="225">
                  <c:v>-64.760000000000005</c:v>
                </c:pt>
                <c:pt idx="226">
                  <c:v>-70.33</c:v>
                </c:pt>
                <c:pt idx="227">
                  <c:v>-75.73</c:v>
                </c:pt>
                <c:pt idx="228">
                  <c:v>-84.28</c:v>
                </c:pt>
                <c:pt idx="229">
                  <c:v>-99.23</c:v>
                </c:pt>
                <c:pt idx="230">
                  <c:v>-109.2</c:v>
                </c:pt>
                <c:pt idx="231">
                  <c:v>-110.2</c:v>
                </c:pt>
                <c:pt idx="232">
                  <c:v>-113.5</c:v>
                </c:pt>
                <c:pt idx="233">
                  <c:v>-118.5</c:v>
                </c:pt>
                <c:pt idx="234">
                  <c:v>-117.5</c:v>
                </c:pt>
                <c:pt idx="235">
                  <c:v>-106.5</c:v>
                </c:pt>
                <c:pt idx="236">
                  <c:v>-93.57</c:v>
                </c:pt>
                <c:pt idx="237">
                  <c:v>-82.24</c:v>
                </c:pt>
                <c:pt idx="238">
                  <c:v>-65</c:v>
                </c:pt>
                <c:pt idx="239">
                  <c:v>-36.74</c:v>
                </c:pt>
                <c:pt idx="240">
                  <c:v>-7.8639999999999999</c:v>
                </c:pt>
                <c:pt idx="241">
                  <c:v>-1.6819999999999999</c:v>
                </c:pt>
                <c:pt idx="242">
                  <c:v>-26.26</c:v>
                </c:pt>
                <c:pt idx="243">
                  <c:v>-60.03</c:v>
                </c:pt>
                <c:pt idx="244">
                  <c:v>-85.13</c:v>
                </c:pt>
                <c:pt idx="245">
                  <c:v>-91.5</c:v>
                </c:pt>
                <c:pt idx="246">
                  <c:v>-85.72</c:v>
                </c:pt>
                <c:pt idx="247">
                  <c:v>-86.71</c:v>
                </c:pt>
                <c:pt idx="248">
                  <c:v>-97.94</c:v>
                </c:pt>
                <c:pt idx="249">
                  <c:v>-115.3</c:v>
                </c:pt>
                <c:pt idx="250">
                  <c:v>-135.80000000000001</c:v>
                </c:pt>
                <c:pt idx="251">
                  <c:v>-151.4</c:v>
                </c:pt>
                <c:pt idx="252">
                  <c:v>-161.19999999999999</c:v>
                </c:pt>
                <c:pt idx="253">
                  <c:v>-179.1</c:v>
                </c:pt>
                <c:pt idx="254">
                  <c:v>147.21</c:v>
                </c:pt>
                <c:pt idx="255">
                  <c:v>103.13</c:v>
                </c:pt>
                <c:pt idx="256">
                  <c:v>88.341999999999999</c:v>
                </c:pt>
              </c:numCache>
            </c:numRef>
          </c:yVal>
        </c:ser>
        <c:ser>
          <c:idx val="0"/>
          <c:order val="1"/>
          <c:tx>
            <c:strRef>
              <c:f>'G20SC-8'!$V$17</c:f>
              <c:strCache>
                <c:ptCount val="1"/>
                <c:pt idx="0">
                  <c:v>G20SC-8 (1)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'G20SC-8'!$B$18:$B$274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'G20SC-8'!$V$18:$V$274</c:f>
              <c:numCache>
                <c:formatCode>General</c:formatCode>
                <c:ptCount val="257"/>
                <c:pt idx="132">
                  <c:v>162.63421171630327</c:v>
                </c:pt>
                <c:pt idx="133">
                  <c:v>163.01201045363905</c:v>
                </c:pt>
                <c:pt idx="134">
                  <c:v>158.80996998968251</c:v>
                </c:pt>
                <c:pt idx="135">
                  <c:v>155.23817072378813</c:v>
                </c:pt>
                <c:pt idx="136">
                  <c:v>152.29661265595553</c:v>
                </c:pt>
                <c:pt idx="137">
                  <c:v>149.98529578618491</c:v>
                </c:pt>
                <c:pt idx="138">
                  <c:v>148.30422011447612</c:v>
                </c:pt>
                <c:pt idx="139">
                  <c:v>147.04330524147531</c:v>
                </c:pt>
                <c:pt idx="140">
                  <c:v>146.62271196589043</c:v>
                </c:pt>
                <c:pt idx="141">
                  <c:v>152.04244028772155</c:v>
                </c:pt>
                <c:pt idx="142">
                  <c:v>152.88232940826063</c:v>
                </c:pt>
                <c:pt idx="143">
                  <c:v>149.35245972686141</c:v>
                </c:pt>
                <c:pt idx="144">
                  <c:v>146.87299204223211</c:v>
                </c:pt>
                <c:pt idx="145">
                  <c:v>145.02376555566514</c:v>
                </c:pt>
                <c:pt idx="146">
                  <c:v>138.80478026715934</c:v>
                </c:pt>
                <c:pt idx="147">
                  <c:v>133.63619697542384</c:v>
                </c:pt>
                <c:pt idx="148">
                  <c:v>129.09785488175061</c:v>
                </c:pt>
                <c:pt idx="149">
                  <c:v>125.18975398613904</c:v>
                </c:pt>
                <c:pt idx="150">
                  <c:v>122.54213548665078</c:v>
                </c:pt>
                <c:pt idx="151">
                  <c:v>120.52475818522545</c:v>
                </c:pt>
                <c:pt idx="152">
                  <c:v>119.55778288056912</c:v>
                </c:pt>
                <c:pt idx="153">
                  <c:v>119.4311291733294</c:v>
                </c:pt>
                <c:pt idx="154">
                  <c:v>120.35487746285898</c:v>
                </c:pt>
                <c:pt idx="155">
                  <c:v>117.11894734980473</c:v>
                </c:pt>
                <c:pt idx="156">
                  <c:v>114.93341923352041</c:v>
                </c:pt>
                <c:pt idx="157">
                  <c:v>113.79829311400542</c:v>
                </c:pt>
                <c:pt idx="158">
                  <c:v>113.92364939061501</c:v>
                </c:pt>
                <c:pt idx="159">
                  <c:v>109.67924686528612</c:v>
                </c:pt>
                <c:pt idx="160">
                  <c:v>107.11548753478948</c:v>
                </c:pt>
                <c:pt idx="161">
                  <c:v>105.18196940235448</c:v>
                </c:pt>
                <c:pt idx="162">
                  <c:v>104.9290944647511</c:v>
                </c:pt>
                <c:pt idx="163">
                  <c:v>105.51654112456369</c:v>
                </c:pt>
                <c:pt idx="164">
                  <c:v>102.57455057985439</c:v>
                </c:pt>
                <c:pt idx="165">
                  <c:v>95.682962031914585</c:v>
                </c:pt>
                <c:pt idx="166">
                  <c:v>90.47201667880671</c:v>
                </c:pt>
                <c:pt idx="167">
                  <c:v>91.311473322468942</c:v>
                </c:pt>
                <c:pt idx="168">
                  <c:v>93.621492761608778</c:v>
                </c:pt>
                <c:pt idx="169">
                  <c:v>97.191994596872888</c:v>
                </c:pt>
                <c:pt idx="170">
                  <c:v>92.653220026322316</c:v>
                </c:pt>
                <c:pt idx="171">
                  <c:v>88.114445455771431</c:v>
                </c:pt>
                <c:pt idx="172">
                  <c:v>76.936957274884747</c:v>
                </c:pt>
                <c:pt idx="173">
                  <c:v>72.860273087537479</c:v>
                </c:pt>
                <c:pt idx="174">
                  <c:v>68.783588900190551</c:v>
                </c:pt>
                <c:pt idx="175">
                  <c:v>66.807708706383195</c:v>
                </c:pt>
                <c:pt idx="176">
                  <c:v>66.932632506116079</c:v>
                </c:pt>
                <c:pt idx="177">
                  <c:v>64.158360299387454</c:v>
                </c:pt>
                <c:pt idx="178">
                  <c:v>61.384088092660107</c:v>
                </c:pt>
                <c:pt idx="179">
                  <c:v>62.811423873011307</c:v>
                </c:pt>
                <c:pt idx="180">
                  <c:v>64.238759653363786</c:v>
                </c:pt>
                <c:pt idx="181">
                  <c:v>64.867703420794669</c:v>
                </c:pt>
                <c:pt idx="182">
                  <c:v>60.49664718822541</c:v>
                </c:pt>
                <c:pt idx="183">
                  <c:v>53.22639494919656</c:v>
                </c:pt>
                <c:pt idx="184">
                  <c:v>55.157750697247039</c:v>
                </c:pt>
                <c:pt idx="185">
                  <c:v>57.089106445297517</c:v>
                </c:pt>
                <c:pt idx="186">
                  <c:v>58.222070180427039</c:v>
                </c:pt>
                <c:pt idx="187">
                  <c:v>51.455837909097468</c:v>
                </c:pt>
                <c:pt idx="188">
                  <c:v>44.689605637766618</c:v>
                </c:pt>
                <c:pt idx="189">
                  <c:v>42.124981353516233</c:v>
                </c:pt>
                <c:pt idx="190">
                  <c:v>41.661161062805121</c:v>
                </c:pt>
                <c:pt idx="191">
                  <c:v>45.398948759173194</c:v>
                </c:pt>
                <c:pt idx="192">
                  <c:v>44.136736455541765</c:v>
                </c:pt>
                <c:pt idx="193">
                  <c:v>47.076132138989522</c:v>
                </c:pt>
                <c:pt idx="194">
                  <c:v>42.116331815977546</c:v>
                </c:pt>
                <c:pt idx="195">
                  <c:v>31.358139480045111</c:v>
                </c:pt>
                <c:pt idx="196">
                  <c:v>22.700751137651949</c:v>
                </c:pt>
                <c:pt idx="197">
                  <c:v>28.244970782338257</c:v>
                </c:pt>
                <c:pt idx="198">
                  <c:v>23.78919042702492</c:v>
                </c:pt>
                <c:pt idx="199">
                  <c:v>15.635822052331037</c:v>
                </c:pt>
                <c:pt idx="200">
                  <c:v>19.583257671176071</c:v>
                </c:pt>
                <c:pt idx="201">
                  <c:v>27.73230127710157</c:v>
                </c:pt>
                <c:pt idx="202">
                  <c:v>27.982148876566058</c:v>
                </c:pt>
                <c:pt idx="203">
                  <c:v>32.43360446311037</c:v>
                </c:pt>
                <c:pt idx="204">
                  <c:v>31.086668036734224</c:v>
                </c:pt>
                <c:pt idx="205">
                  <c:v>33.941339597437263</c:v>
                </c:pt>
                <c:pt idx="206">
                  <c:v>28.89681515168121</c:v>
                </c:pt>
                <c:pt idx="207">
                  <c:v>20.154702686542691</c:v>
                </c:pt>
                <c:pt idx="208">
                  <c:v>23.513394214945009</c:v>
                </c:pt>
                <c:pt idx="209">
                  <c:v>23.17449772396742</c:v>
                </c:pt>
                <c:pt idx="210">
                  <c:v>24.936405226527825</c:v>
                </c:pt>
                <c:pt idx="211">
                  <c:v>30.899920716168054</c:v>
                </c:pt>
                <c:pt idx="212">
                  <c:v>33.165848186427098</c:v>
                </c:pt>
              </c:numCache>
            </c:numRef>
          </c:yVal>
        </c:ser>
        <c:ser>
          <c:idx val="1"/>
          <c:order val="2"/>
          <c:tx>
            <c:strRef>
              <c:f>'G20SC-8'!$W$17</c:f>
              <c:strCache>
                <c:ptCount val="1"/>
                <c:pt idx="0">
                  <c:v>G20SC-8 (2)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'G20SC-8'!$B$18:$B$274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'G20SC-8'!$W$18:$W$274</c:f>
              <c:numCache>
                <c:formatCode>General</c:formatCode>
                <c:ptCount val="257"/>
                <c:pt idx="132">
                  <c:v>176.63421171630321</c:v>
                </c:pt>
                <c:pt idx="133">
                  <c:v>174.01201045363902</c:v>
                </c:pt>
                <c:pt idx="134">
                  <c:v>169.80996998968249</c:v>
                </c:pt>
                <c:pt idx="135">
                  <c:v>166.23817072378807</c:v>
                </c:pt>
                <c:pt idx="136">
                  <c:v>166.29661265595547</c:v>
                </c:pt>
                <c:pt idx="137">
                  <c:v>166.98529578618485</c:v>
                </c:pt>
                <c:pt idx="138">
                  <c:v>167.30422011447604</c:v>
                </c:pt>
                <c:pt idx="139">
                  <c:v>166.04330524147539</c:v>
                </c:pt>
                <c:pt idx="140">
                  <c:v>164.62271196589037</c:v>
                </c:pt>
                <c:pt idx="141">
                  <c:v>162.04244028772166</c:v>
                </c:pt>
                <c:pt idx="142">
                  <c:v>159.8823294082606</c:v>
                </c:pt>
                <c:pt idx="143">
                  <c:v>158.35245972686135</c:v>
                </c:pt>
                <c:pt idx="144">
                  <c:v>156.87299204223226</c:v>
                </c:pt>
                <c:pt idx="145">
                  <c:v>155.02376555566494</c:v>
                </c:pt>
                <c:pt idx="146">
                  <c:v>152.80478026715963</c:v>
                </c:pt>
                <c:pt idx="147">
                  <c:v>151.63619697542407</c:v>
                </c:pt>
                <c:pt idx="148">
                  <c:v>149.09785488175055</c:v>
                </c:pt>
                <c:pt idx="149">
                  <c:v>146.18975398613881</c:v>
                </c:pt>
                <c:pt idx="150">
                  <c:v>144.54213548665103</c:v>
                </c:pt>
                <c:pt idx="151">
                  <c:v>140.52475818522538</c:v>
                </c:pt>
                <c:pt idx="152">
                  <c:v>136.55778288056922</c:v>
                </c:pt>
                <c:pt idx="153">
                  <c:v>132.4311291733292</c:v>
                </c:pt>
                <c:pt idx="154">
                  <c:v>128.35487746285895</c:v>
                </c:pt>
                <c:pt idx="155">
                  <c:v>126.11894734980453</c:v>
                </c:pt>
                <c:pt idx="156">
                  <c:v>124.93341923352037</c:v>
                </c:pt>
                <c:pt idx="157">
                  <c:v>124.79829311400553</c:v>
                </c:pt>
                <c:pt idx="158">
                  <c:v>124.92364939061514</c:v>
                </c:pt>
                <c:pt idx="159">
                  <c:v>123.67924686528607</c:v>
                </c:pt>
                <c:pt idx="160">
                  <c:v>122.11548753478958</c:v>
                </c:pt>
                <c:pt idx="161">
                  <c:v>117.18196940235444</c:v>
                </c:pt>
                <c:pt idx="162">
                  <c:v>113.92909446475123</c:v>
                </c:pt>
                <c:pt idx="163">
                  <c:v>110.51654112456383</c:v>
                </c:pt>
                <c:pt idx="164">
                  <c:v>107.57455057985422</c:v>
                </c:pt>
                <c:pt idx="165">
                  <c:v>104.68296203191471</c:v>
                </c:pt>
                <c:pt idx="166">
                  <c:v>103.47201667880682</c:v>
                </c:pt>
                <c:pt idx="167">
                  <c:v>103.31147332246888</c:v>
                </c:pt>
                <c:pt idx="168">
                  <c:v>101.62149276160875</c:v>
                </c:pt>
                <c:pt idx="169">
                  <c:v>99.191994596872888</c:v>
                </c:pt>
                <c:pt idx="170">
                  <c:v>95.653220026322458</c:v>
                </c:pt>
                <c:pt idx="171">
                  <c:v>90.114445455771417</c:v>
                </c:pt>
                <c:pt idx="172">
                  <c:v>87.936957274884861</c:v>
                </c:pt>
                <c:pt idx="173">
                  <c:v>87.860273087537593</c:v>
                </c:pt>
                <c:pt idx="174">
                  <c:v>86.78358890019048</c:v>
                </c:pt>
                <c:pt idx="175">
                  <c:v>87.807708706383281</c:v>
                </c:pt>
                <c:pt idx="176">
                  <c:v>88.932632506115681</c:v>
                </c:pt>
                <c:pt idx="177">
                  <c:v>89.158360299388164</c:v>
                </c:pt>
                <c:pt idx="178">
                  <c:v>83.384088092659709</c:v>
                </c:pt>
                <c:pt idx="179">
                  <c:v>80.811423873011563</c:v>
                </c:pt>
                <c:pt idx="180">
                  <c:v>77.23875965336326</c:v>
                </c:pt>
                <c:pt idx="181">
                  <c:v>77.867703420794143</c:v>
                </c:pt>
                <c:pt idx="182">
                  <c:v>75.496647188225836</c:v>
                </c:pt>
                <c:pt idx="183">
                  <c:v>72.226394949196973</c:v>
                </c:pt>
                <c:pt idx="184">
                  <c:v>72.157750697247138</c:v>
                </c:pt>
                <c:pt idx="185">
                  <c:v>69.089106445297475</c:v>
                </c:pt>
                <c:pt idx="186">
                  <c:v>68.222070180427323</c:v>
                </c:pt>
                <c:pt idx="187">
                  <c:v>68.455837909096928</c:v>
                </c:pt>
                <c:pt idx="188">
                  <c:v>66.689605637766221</c:v>
                </c:pt>
                <c:pt idx="189">
                  <c:v>65.124981353515992</c:v>
                </c:pt>
                <c:pt idx="190">
                  <c:v>61.66116106280505</c:v>
                </c:pt>
                <c:pt idx="191">
                  <c:v>60.398948759173621</c:v>
                </c:pt>
                <c:pt idx="192">
                  <c:v>53.136736455541893</c:v>
                </c:pt>
                <c:pt idx="193">
                  <c:v>51.076132138989507</c:v>
                </c:pt>
                <c:pt idx="194">
                  <c:v>46.116331815977532</c:v>
                </c:pt>
                <c:pt idx="195">
                  <c:v>45.358139480044741</c:v>
                </c:pt>
                <c:pt idx="196">
                  <c:v>46.700751137651864</c:v>
                </c:pt>
                <c:pt idx="197">
                  <c:v>52.244970782338171</c:v>
                </c:pt>
                <c:pt idx="198">
                  <c:v>56.789190427024963</c:v>
                </c:pt>
                <c:pt idx="199">
                  <c:v>53.635822052331221</c:v>
                </c:pt>
                <c:pt idx="200">
                  <c:v>49.583257671176284</c:v>
                </c:pt>
                <c:pt idx="201">
                  <c:v>43.732301277101513</c:v>
                </c:pt>
                <c:pt idx="202">
                  <c:v>40.982148876566171</c:v>
                </c:pt>
                <c:pt idx="203">
                  <c:v>40.433604463110342</c:v>
                </c:pt>
                <c:pt idx="204">
                  <c:v>43.086668036734181</c:v>
                </c:pt>
                <c:pt idx="205">
                  <c:v>48.94133959743769</c:v>
                </c:pt>
                <c:pt idx="206">
                  <c:v>53.896815151680642</c:v>
                </c:pt>
                <c:pt idx="207">
                  <c:v>50.154702686543544</c:v>
                </c:pt>
                <c:pt idx="208">
                  <c:v>41.513394214945265</c:v>
                </c:pt>
                <c:pt idx="209">
                  <c:v>39.174497723967363</c:v>
                </c:pt>
                <c:pt idx="210">
                  <c:v>42.93640522652808</c:v>
                </c:pt>
                <c:pt idx="211">
                  <c:v>42.899920716167372</c:v>
                </c:pt>
                <c:pt idx="212">
                  <c:v>39.165848186428036</c:v>
                </c:pt>
              </c:numCache>
            </c:numRef>
          </c:yVal>
        </c:ser>
        <c:axId val="83335808"/>
        <c:axId val="83358464"/>
      </c:scatterChart>
      <c:valAx>
        <c:axId val="83335808"/>
        <c:scaling>
          <c:logBase val="10"/>
          <c:orientation val="minMax"/>
          <c:max val="1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0647064686534431"/>
              <c:y val="0.86533136482939632"/>
            </c:manualLayout>
          </c:layout>
        </c:title>
        <c:numFmt formatCode="General" sourceLinked="1"/>
        <c:tickLblPos val="nextTo"/>
        <c:crossAx val="83358464"/>
        <c:crossesAt val="-360"/>
        <c:crossBetween val="midCat"/>
      </c:valAx>
      <c:valAx>
        <c:axId val="83358464"/>
        <c:scaling>
          <c:orientation val="minMax"/>
          <c:max val="180"/>
          <c:min val="-18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[grd]</a:t>
                </a:r>
              </a:p>
            </c:rich>
          </c:tx>
        </c:title>
        <c:numFmt formatCode="General" sourceLinked="1"/>
        <c:tickLblPos val="nextTo"/>
        <c:crossAx val="83335808"/>
        <c:crosses val="autoZero"/>
        <c:crossBetween val="midCat"/>
        <c:majorUnit val="30"/>
      </c:valAx>
    </c:plotArea>
    <c:legend>
      <c:legendPos val="b"/>
      <c:layout>
        <c:manualLayout>
          <c:xMode val="edge"/>
          <c:yMode val="edge"/>
          <c:x val="1.0139522033430029E-2"/>
          <c:y val="0.91628280839894949"/>
          <c:w val="0.98268821660451133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0650605487500876E-2"/>
          <c:y val="5.1400554097404488E-2"/>
          <c:w val="0.88980465353919669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'DT94-8'!$I$17</c:f>
              <c:strCache>
                <c:ptCount val="1"/>
                <c:pt idx="0">
                  <c:v>DT94-8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'DT94-8'!$I$18:$I$274</c:f>
              <c:numCache>
                <c:formatCode>General</c:formatCode>
                <c:ptCount val="257"/>
                <c:pt idx="0">
                  <c:v>40.837000000000003</c:v>
                </c:pt>
                <c:pt idx="1">
                  <c:v>40.936999999999998</c:v>
                </c:pt>
                <c:pt idx="2">
                  <c:v>41.08</c:v>
                </c:pt>
                <c:pt idx="3">
                  <c:v>41.177</c:v>
                </c:pt>
                <c:pt idx="4">
                  <c:v>41.119</c:v>
                </c:pt>
                <c:pt idx="5">
                  <c:v>40.99</c:v>
                </c:pt>
                <c:pt idx="6">
                  <c:v>40.889000000000003</c:v>
                </c:pt>
                <c:pt idx="7">
                  <c:v>40.859000000000002</c:v>
                </c:pt>
                <c:pt idx="8">
                  <c:v>40.823</c:v>
                </c:pt>
                <c:pt idx="9">
                  <c:v>40.685000000000002</c:v>
                </c:pt>
                <c:pt idx="10">
                  <c:v>40.456000000000003</c:v>
                </c:pt>
                <c:pt idx="11">
                  <c:v>40.231000000000002</c:v>
                </c:pt>
                <c:pt idx="12">
                  <c:v>40.094999999999999</c:v>
                </c:pt>
                <c:pt idx="13">
                  <c:v>40.128</c:v>
                </c:pt>
                <c:pt idx="14">
                  <c:v>40.338999999999999</c:v>
                </c:pt>
                <c:pt idx="15">
                  <c:v>40.481000000000002</c:v>
                </c:pt>
                <c:pt idx="16">
                  <c:v>40.387</c:v>
                </c:pt>
                <c:pt idx="17">
                  <c:v>40.159999999999997</c:v>
                </c:pt>
                <c:pt idx="18">
                  <c:v>39.97</c:v>
                </c:pt>
                <c:pt idx="19">
                  <c:v>39.97</c:v>
                </c:pt>
                <c:pt idx="20">
                  <c:v>40.011000000000003</c:v>
                </c:pt>
                <c:pt idx="21">
                  <c:v>39.82</c:v>
                </c:pt>
                <c:pt idx="22">
                  <c:v>39.451000000000001</c:v>
                </c:pt>
                <c:pt idx="23">
                  <c:v>39.078000000000003</c:v>
                </c:pt>
                <c:pt idx="24">
                  <c:v>38.887</c:v>
                </c:pt>
                <c:pt idx="25">
                  <c:v>39.002000000000002</c:v>
                </c:pt>
                <c:pt idx="26">
                  <c:v>39.228000000000002</c:v>
                </c:pt>
                <c:pt idx="27">
                  <c:v>39.268000000000001</c:v>
                </c:pt>
                <c:pt idx="28">
                  <c:v>39.066000000000003</c:v>
                </c:pt>
                <c:pt idx="29">
                  <c:v>38.777999999999999</c:v>
                </c:pt>
                <c:pt idx="30">
                  <c:v>38.566000000000003</c:v>
                </c:pt>
                <c:pt idx="31">
                  <c:v>38.418999999999997</c:v>
                </c:pt>
                <c:pt idx="32">
                  <c:v>38.265999999999998</c:v>
                </c:pt>
                <c:pt idx="33">
                  <c:v>38.207000000000001</c:v>
                </c:pt>
                <c:pt idx="34">
                  <c:v>38.414999999999999</c:v>
                </c:pt>
                <c:pt idx="35">
                  <c:v>38.801000000000002</c:v>
                </c:pt>
                <c:pt idx="36">
                  <c:v>39.015999999999998</c:v>
                </c:pt>
                <c:pt idx="37">
                  <c:v>38.883000000000003</c:v>
                </c:pt>
                <c:pt idx="38">
                  <c:v>38.558</c:v>
                </c:pt>
                <c:pt idx="39">
                  <c:v>38.229999999999997</c:v>
                </c:pt>
                <c:pt idx="40">
                  <c:v>37.945</c:v>
                </c:pt>
                <c:pt idx="41">
                  <c:v>37.603999999999999</c:v>
                </c:pt>
                <c:pt idx="42">
                  <c:v>37.103999999999999</c:v>
                </c:pt>
                <c:pt idx="43">
                  <c:v>36.567</c:v>
                </c:pt>
                <c:pt idx="44">
                  <c:v>36.225999999999999</c:v>
                </c:pt>
                <c:pt idx="45">
                  <c:v>36.155000000000001</c:v>
                </c:pt>
                <c:pt idx="46">
                  <c:v>36.276000000000003</c:v>
                </c:pt>
                <c:pt idx="47">
                  <c:v>36.4</c:v>
                </c:pt>
                <c:pt idx="48">
                  <c:v>36.429000000000002</c:v>
                </c:pt>
                <c:pt idx="49">
                  <c:v>36.512</c:v>
                </c:pt>
                <c:pt idx="50">
                  <c:v>36.670999999999999</c:v>
                </c:pt>
                <c:pt idx="51">
                  <c:v>36.795999999999999</c:v>
                </c:pt>
                <c:pt idx="52">
                  <c:v>36.816000000000003</c:v>
                </c:pt>
                <c:pt idx="53">
                  <c:v>36.685000000000002</c:v>
                </c:pt>
                <c:pt idx="54">
                  <c:v>36.465000000000003</c:v>
                </c:pt>
                <c:pt idx="55">
                  <c:v>36.195999999999998</c:v>
                </c:pt>
                <c:pt idx="56">
                  <c:v>35.970999999999997</c:v>
                </c:pt>
                <c:pt idx="57">
                  <c:v>35.948</c:v>
                </c:pt>
                <c:pt idx="58">
                  <c:v>36.075000000000003</c:v>
                </c:pt>
                <c:pt idx="59">
                  <c:v>36.155999999999999</c:v>
                </c:pt>
                <c:pt idx="60">
                  <c:v>36.100999999999999</c:v>
                </c:pt>
                <c:pt idx="61">
                  <c:v>36.015999999999998</c:v>
                </c:pt>
                <c:pt idx="62">
                  <c:v>35.997999999999998</c:v>
                </c:pt>
                <c:pt idx="63">
                  <c:v>36.088999999999999</c:v>
                </c:pt>
                <c:pt idx="64">
                  <c:v>36.354999999999997</c:v>
                </c:pt>
                <c:pt idx="65">
                  <c:v>36.773000000000003</c:v>
                </c:pt>
                <c:pt idx="66">
                  <c:v>37.191000000000003</c:v>
                </c:pt>
                <c:pt idx="67">
                  <c:v>37.409999999999997</c:v>
                </c:pt>
                <c:pt idx="68">
                  <c:v>37.436999999999998</c:v>
                </c:pt>
                <c:pt idx="69">
                  <c:v>37.603000000000002</c:v>
                </c:pt>
                <c:pt idx="70">
                  <c:v>38.146000000000001</c:v>
                </c:pt>
                <c:pt idx="71">
                  <c:v>38.857999999999997</c:v>
                </c:pt>
                <c:pt idx="72">
                  <c:v>39.368000000000002</c:v>
                </c:pt>
                <c:pt idx="73">
                  <c:v>39.619999999999997</c:v>
                </c:pt>
                <c:pt idx="74">
                  <c:v>39.923000000000002</c:v>
                </c:pt>
                <c:pt idx="75">
                  <c:v>40.536000000000001</c:v>
                </c:pt>
                <c:pt idx="76">
                  <c:v>41.305</c:v>
                </c:pt>
                <c:pt idx="77">
                  <c:v>41.921999999999997</c:v>
                </c:pt>
                <c:pt idx="78">
                  <c:v>42.378999999999998</c:v>
                </c:pt>
                <c:pt idx="79">
                  <c:v>42.912999999999997</c:v>
                </c:pt>
                <c:pt idx="80">
                  <c:v>43.658999999999999</c:v>
                </c:pt>
                <c:pt idx="81">
                  <c:v>44.481000000000002</c:v>
                </c:pt>
                <c:pt idx="82">
                  <c:v>45.179000000000002</c:v>
                </c:pt>
                <c:pt idx="83">
                  <c:v>45.75</c:v>
                </c:pt>
                <c:pt idx="84">
                  <c:v>46.258000000000003</c:v>
                </c:pt>
                <c:pt idx="85">
                  <c:v>46.725999999999999</c:v>
                </c:pt>
                <c:pt idx="86">
                  <c:v>47.204000000000001</c:v>
                </c:pt>
                <c:pt idx="87">
                  <c:v>47.722999999999999</c:v>
                </c:pt>
                <c:pt idx="88">
                  <c:v>48.302</c:v>
                </c:pt>
                <c:pt idx="89">
                  <c:v>48.942</c:v>
                </c:pt>
                <c:pt idx="90">
                  <c:v>49.59</c:v>
                </c:pt>
                <c:pt idx="91">
                  <c:v>50.219000000000001</c:v>
                </c:pt>
                <c:pt idx="92">
                  <c:v>50.838999999999999</c:v>
                </c:pt>
                <c:pt idx="93">
                  <c:v>51.353000000000002</c:v>
                </c:pt>
                <c:pt idx="94">
                  <c:v>51.685000000000002</c:v>
                </c:pt>
                <c:pt idx="95">
                  <c:v>51.945999999999998</c:v>
                </c:pt>
                <c:pt idx="96">
                  <c:v>52.255000000000003</c:v>
                </c:pt>
                <c:pt idx="97">
                  <c:v>52.674999999999997</c:v>
                </c:pt>
                <c:pt idx="98">
                  <c:v>53.213000000000001</c:v>
                </c:pt>
                <c:pt idx="99">
                  <c:v>53.761000000000003</c:v>
                </c:pt>
                <c:pt idx="100">
                  <c:v>54.262999999999998</c:v>
                </c:pt>
                <c:pt idx="101">
                  <c:v>54.706000000000003</c:v>
                </c:pt>
                <c:pt idx="102">
                  <c:v>55.058</c:v>
                </c:pt>
                <c:pt idx="103">
                  <c:v>55.362000000000002</c:v>
                </c:pt>
                <c:pt idx="104">
                  <c:v>55.716999999999999</c:v>
                </c:pt>
                <c:pt idx="105">
                  <c:v>56.238</c:v>
                </c:pt>
                <c:pt idx="106">
                  <c:v>56.978999999999999</c:v>
                </c:pt>
                <c:pt idx="107">
                  <c:v>57.85</c:v>
                </c:pt>
                <c:pt idx="108">
                  <c:v>58.69</c:v>
                </c:pt>
                <c:pt idx="109">
                  <c:v>59.402999999999999</c:v>
                </c:pt>
                <c:pt idx="110">
                  <c:v>60.023000000000003</c:v>
                </c:pt>
                <c:pt idx="111">
                  <c:v>60.646999999999998</c:v>
                </c:pt>
                <c:pt idx="112">
                  <c:v>61.296999999999997</c:v>
                </c:pt>
                <c:pt idx="113">
                  <c:v>61.914999999999999</c:v>
                </c:pt>
                <c:pt idx="114">
                  <c:v>62.456000000000003</c:v>
                </c:pt>
                <c:pt idx="115">
                  <c:v>62.914999999999999</c:v>
                </c:pt>
                <c:pt idx="116">
                  <c:v>63.332000000000001</c:v>
                </c:pt>
                <c:pt idx="117">
                  <c:v>63.731999999999999</c:v>
                </c:pt>
                <c:pt idx="118">
                  <c:v>64.123999999999995</c:v>
                </c:pt>
                <c:pt idx="119">
                  <c:v>64.552999999999997</c:v>
                </c:pt>
                <c:pt idx="120">
                  <c:v>65.075999999999993</c:v>
                </c:pt>
                <c:pt idx="121">
                  <c:v>65.697999999999993</c:v>
                </c:pt>
                <c:pt idx="122">
                  <c:v>66.366</c:v>
                </c:pt>
                <c:pt idx="123">
                  <c:v>67.013999999999996</c:v>
                </c:pt>
                <c:pt idx="124">
                  <c:v>67.650999999999996</c:v>
                </c:pt>
                <c:pt idx="125">
                  <c:v>68.346000000000004</c:v>
                </c:pt>
                <c:pt idx="126">
                  <c:v>69.134</c:v>
                </c:pt>
                <c:pt idx="127">
                  <c:v>69.947000000000003</c:v>
                </c:pt>
                <c:pt idx="128">
                  <c:v>70.661000000000001</c:v>
                </c:pt>
                <c:pt idx="129">
                  <c:v>71.228999999999999</c:v>
                </c:pt>
                <c:pt idx="130">
                  <c:v>71.715999999999994</c:v>
                </c:pt>
                <c:pt idx="131">
                  <c:v>72.216999999999999</c:v>
                </c:pt>
                <c:pt idx="132">
                  <c:v>72.759</c:v>
                </c:pt>
                <c:pt idx="133">
                  <c:v>73.307000000000002</c:v>
                </c:pt>
                <c:pt idx="134">
                  <c:v>73.850999999999999</c:v>
                </c:pt>
                <c:pt idx="135">
                  <c:v>74.448999999999998</c:v>
                </c:pt>
                <c:pt idx="136">
                  <c:v>75.159000000000006</c:v>
                </c:pt>
                <c:pt idx="137">
                  <c:v>75.989000000000004</c:v>
                </c:pt>
                <c:pt idx="138">
                  <c:v>76.89</c:v>
                </c:pt>
                <c:pt idx="139">
                  <c:v>77.778000000000006</c:v>
                </c:pt>
                <c:pt idx="140">
                  <c:v>78.575999999999993</c:v>
                </c:pt>
                <c:pt idx="141">
                  <c:v>79.19</c:v>
                </c:pt>
                <c:pt idx="142">
                  <c:v>79.578000000000003</c:v>
                </c:pt>
                <c:pt idx="143">
                  <c:v>79.816999999999993</c:v>
                </c:pt>
                <c:pt idx="144">
                  <c:v>80.013000000000005</c:v>
                </c:pt>
                <c:pt idx="145">
                  <c:v>80.304000000000002</c:v>
                </c:pt>
                <c:pt idx="146">
                  <c:v>80.817999999999998</c:v>
                </c:pt>
                <c:pt idx="147">
                  <c:v>81.569000000000003</c:v>
                </c:pt>
                <c:pt idx="148">
                  <c:v>82.433000000000007</c:v>
                </c:pt>
                <c:pt idx="149">
                  <c:v>83.191999999999993</c:v>
                </c:pt>
                <c:pt idx="150">
                  <c:v>83.712000000000003</c:v>
                </c:pt>
                <c:pt idx="151">
                  <c:v>84.094999999999999</c:v>
                </c:pt>
                <c:pt idx="152">
                  <c:v>84.569000000000003</c:v>
                </c:pt>
                <c:pt idx="153">
                  <c:v>85.242000000000004</c:v>
                </c:pt>
                <c:pt idx="154">
                  <c:v>86.052999999999997</c:v>
                </c:pt>
                <c:pt idx="155">
                  <c:v>86.872</c:v>
                </c:pt>
                <c:pt idx="156">
                  <c:v>87.539000000000001</c:v>
                </c:pt>
                <c:pt idx="157">
                  <c:v>87.950999999999993</c:v>
                </c:pt>
                <c:pt idx="158">
                  <c:v>88.194000000000003</c:v>
                </c:pt>
                <c:pt idx="159">
                  <c:v>88.451999999999998</c:v>
                </c:pt>
                <c:pt idx="160">
                  <c:v>88.784000000000006</c:v>
                </c:pt>
                <c:pt idx="161">
                  <c:v>89.006</c:v>
                </c:pt>
                <c:pt idx="162">
                  <c:v>88.866</c:v>
                </c:pt>
                <c:pt idx="163">
                  <c:v>88.509</c:v>
                </c:pt>
                <c:pt idx="164">
                  <c:v>88.412999999999997</c:v>
                </c:pt>
                <c:pt idx="165">
                  <c:v>88.858000000000004</c:v>
                </c:pt>
                <c:pt idx="166">
                  <c:v>89.653999999999996</c:v>
                </c:pt>
                <c:pt idx="167">
                  <c:v>90.185000000000002</c:v>
                </c:pt>
                <c:pt idx="168">
                  <c:v>90.048000000000002</c:v>
                </c:pt>
                <c:pt idx="169">
                  <c:v>89.632000000000005</c:v>
                </c:pt>
                <c:pt idx="170">
                  <c:v>89.474000000000004</c:v>
                </c:pt>
                <c:pt idx="171">
                  <c:v>89.673000000000002</c:v>
                </c:pt>
                <c:pt idx="172">
                  <c:v>89.796999999999997</c:v>
                </c:pt>
                <c:pt idx="173">
                  <c:v>89.442999999999998</c:v>
                </c:pt>
                <c:pt idx="174">
                  <c:v>88.997</c:v>
                </c:pt>
                <c:pt idx="175">
                  <c:v>88.753</c:v>
                </c:pt>
                <c:pt idx="176">
                  <c:v>88.527000000000001</c:v>
                </c:pt>
                <c:pt idx="177">
                  <c:v>88.465000000000003</c:v>
                </c:pt>
                <c:pt idx="178">
                  <c:v>88.771000000000001</c:v>
                </c:pt>
                <c:pt idx="179">
                  <c:v>88.947999999999993</c:v>
                </c:pt>
                <c:pt idx="180">
                  <c:v>88.65</c:v>
                </c:pt>
                <c:pt idx="181">
                  <c:v>88.492000000000004</c:v>
                </c:pt>
                <c:pt idx="182">
                  <c:v>88.442999999999998</c:v>
                </c:pt>
                <c:pt idx="183">
                  <c:v>87.694000000000003</c:v>
                </c:pt>
                <c:pt idx="184">
                  <c:v>87.037000000000006</c:v>
                </c:pt>
                <c:pt idx="185">
                  <c:v>87.361999999999995</c:v>
                </c:pt>
                <c:pt idx="186">
                  <c:v>87.784999999999997</c:v>
                </c:pt>
                <c:pt idx="187">
                  <c:v>87.793000000000006</c:v>
                </c:pt>
                <c:pt idx="188">
                  <c:v>87.673000000000002</c:v>
                </c:pt>
                <c:pt idx="189">
                  <c:v>87.26</c:v>
                </c:pt>
                <c:pt idx="190">
                  <c:v>87.652000000000001</c:v>
                </c:pt>
                <c:pt idx="191">
                  <c:v>88.251000000000005</c:v>
                </c:pt>
                <c:pt idx="192">
                  <c:v>88.897999999999996</c:v>
                </c:pt>
                <c:pt idx="193">
                  <c:v>89.475999999999999</c:v>
                </c:pt>
                <c:pt idx="194">
                  <c:v>88.540999999999997</c:v>
                </c:pt>
                <c:pt idx="195">
                  <c:v>88.379000000000005</c:v>
                </c:pt>
                <c:pt idx="196">
                  <c:v>88.739000000000004</c:v>
                </c:pt>
                <c:pt idx="197">
                  <c:v>89.122</c:v>
                </c:pt>
                <c:pt idx="198">
                  <c:v>89.055000000000007</c:v>
                </c:pt>
                <c:pt idx="199">
                  <c:v>88.894999999999996</c:v>
                </c:pt>
                <c:pt idx="200">
                  <c:v>88.573999999999998</c:v>
                </c:pt>
                <c:pt idx="201">
                  <c:v>89.191999999999993</c:v>
                </c:pt>
                <c:pt idx="202">
                  <c:v>89.706000000000003</c:v>
                </c:pt>
                <c:pt idx="203">
                  <c:v>90.049000000000007</c:v>
                </c:pt>
                <c:pt idx="204">
                  <c:v>90.055000000000007</c:v>
                </c:pt>
                <c:pt idx="205">
                  <c:v>90.058999999999997</c:v>
                </c:pt>
                <c:pt idx="206">
                  <c:v>90.54</c:v>
                </c:pt>
                <c:pt idx="207">
                  <c:v>90.66</c:v>
                </c:pt>
                <c:pt idx="208">
                  <c:v>90.462000000000003</c:v>
                </c:pt>
                <c:pt idx="209">
                  <c:v>90.454999999999998</c:v>
                </c:pt>
                <c:pt idx="210">
                  <c:v>91.114999999999995</c:v>
                </c:pt>
                <c:pt idx="211">
                  <c:v>90.885999999999996</c:v>
                </c:pt>
                <c:pt idx="212">
                  <c:v>90.614999999999995</c:v>
                </c:pt>
                <c:pt idx="213">
                  <c:v>91.204999999999998</c:v>
                </c:pt>
                <c:pt idx="214">
                  <c:v>91.495000000000005</c:v>
                </c:pt>
                <c:pt idx="215">
                  <c:v>91.241</c:v>
                </c:pt>
                <c:pt idx="216">
                  <c:v>91.751000000000005</c:v>
                </c:pt>
                <c:pt idx="217">
                  <c:v>91.778999999999996</c:v>
                </c:pt>
                <c:pt idx="218">
                  <c:v>91.545000000000002</c:v>
                </c:pt>
                <c:pt idx="219">
                  <c:v>91.777000000000001</c:v>
                </c:pt>
                <c:pt idx="220">
                  <c:v>91.674999999999997</c:v>
                </c:pt>
                <c:pt idx="221">
                  <c:v>91.495999999999995</c:v>
                </c:pt>
                <c:pt idx="222">
                  <c:v>91.724999999999994</c:v>
                </c:pt>
                <c:pt idx="223">
                  <c:v>91.489000000000004</c:v>
                </c:pt>
                <c:pt idx="224">
                  <c:v>91.596999999999994</c:v>
                </c:pt>
                <c:pt idx="225">
                  <c:v>92.025999999999996</c:v>
                </c:pt>
                <c:pt idx="226">
                  <c:v>92.078000000000003</c:v>
                </c:pt>
                <c:pt idx="227">
                  <c:v>92.914000000000001</c:v>
                </c:pt>
                <c:pt idx="228">
                  <c:v>93.055999999999997</c:v>
                </c:pt>
                <c:pt idx="229">
                  <c:v>93.817999999999998</c:v>
                </c:pt>
                <c:pt idx="230">
                  <c:v>93.712999999999994</c:v>
                </c:pt>
                <c:pt idx="231">
                  <c:v>93.87</c:v>
                </c:pt>
                <c:pt idx="232">
                  <c:v>93.378</c:v>
                </c:pt>
                <c:pt idx="233">
                  <c:v>93.02</c:v>
                </c:pt>
                <c:pt idx="234">
                  <c:v>92.323999999999998</c:v>
                </c:pt>
                <c:pt idx="235">
                  <c:v>91.980999999999995</c:v>
                </c:pt>
                <c:pt idx="236">
                  <c:v>91.409000000000006</c:v>
                </c:pt>
                <c:pt idx="237">
                  <c:v>91.352999999999994</c:v>
                </c:pt>
                <c:pt idx="238">
                  <c:v>91.484999999999999</c:v>
                </c:pt>
                <c:pt idx="239">
                  <c:v>91.602000000000004</c:v>
                </c:pt>
                <c:pt idx="240">
                  <c:v>91.98</c:v>
                </c:pt>
                <c:pt idx="241">
                  <c:v>92.506</c:v>
                </c:pt>
                <c:pt idx="242">
                  <c:v>93.135999999999996</c:v>
                </c:pt>
                <c:pt idx="243">
                  <c:v>93.691999999999993</c:v>
                </c:pt>
                <c:pt idx="244">
                  <c:v>93.983000000000004</c:v>
                </c:pt>
                <c:pt idx="245">
                  <c:v>94.078000000000003</c:v>
                </c:pt>
                <c:pt idx="246">
                  <c:v>94.072000000000003</c:v>
                </c:pt>
                <c:pt idx="247">
                  <c:v>94.070999999999998</c:v>
                </c:pt>
                <c:pt idx="248">
                  <c:v>94.165999999999997</c:v>
                </c:pt>
                <c:pt idx="249">
                  <c:v>94.304000000000002</c:v>
                </c:pt>
                <c:pt idx="250">
                  <c:v>94.272999999999996</c:v>
                </c:pt>
                <c:pt idx="251">
                  <c:v>93.876000000000005</c:v>
                </c:pt>
                <c:pt idx="252">
                  <c:v>92.945999999999998</c:v>
                </c:pt>
                <c:pt idx="253">
                  <c:v>91.561000000000007</c:v>
                </c:pt>
                <c:pt idx="254">
                  <c:v>89.924000000000007</c:v>
                </c:pt>
                <c:pt idx="255">
                  <c:v>88.603999999999999</c:v>
                </c:pt>
                <c:pt idx="256">
                  <c:v>87.814999999999998</c:v>
                </c:pt>
              </c:numCache>
            </c:numRef>
          </c:yVal>
        </c:ser>
        <c:ser>
          <c:idx val="0"/>
          <c:order val="1"/>
          <c:tx>
            <c:strRef>
              <c:f>'DT94-8'!$P$17</c:f>
              <c:strCache>
                <c:ptCount val="1"/>
                <c:pt idx="0">
                  <c:v>DT94-8 (1)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'DT94-8'!$P$18:$P$274</c:f>
              <c:numCache>
                <c:formatCode>General</c:formatCode>
                <c:ptCount val="257"/>
                <c:pt idx="132">
                  <c:v>76.634849046414715</c:v>
                </c:pt>
                <c:pt idx="133">
                  <c:v>77.150123518419591</c:v>
                </c:pt>
                <c:pt idx="134">
                  <c:v>77.80576564360382</c:v>
                </c:pt>
                <c:pt idx="135">
                  <c:v>78.252152560792723</c:v>
                </c:pt>
                <c:pt idx="136">
                  <c:v>79.00112377858072</c:v>
                </c:pt>
                <c:pt idx="137">
                  <c:v>79.696365903764956</c:v>
                </c:pt>
                <c:pt idx="138">
                  <c:v>80.362859571192971</c:v>
                </c:pt>
                <c:pt idx="139">
                  <c:v>81.122370616523668</c:v>
                </c:pt>
                <c:pt idx="140">
                  <c:v>81.814375818582178</c:v>
                </c:pt>
                <c:pt idx="141">
                  <c:v>82.622948959694341</c:v>
                </c:pt>
                <c:pt idx="142">
                  <c:v>83.538098770907837</c:v>
                </c:pt>
                <c:pt idx="143">
                  <c:v>84.365952474072344</c:v>
                </c:pt>
                <c:pt idx="144">
                  <c:v>84.752055577980073</c:v>
                </c:pt>
                <c:pt idx="145">
                  <c:v>85.476299031068962</c:v>
                </c:pt>
                <c:pt idx="146">
                  <c:v>86.335680498932575</c:v>
                </c:pt>
                <c:pt idx="147">
                  <c:v>87.511240509996298</c:v>
                </c:pt>
                <c:pt idx="148">
                  <c:v>88.147077198473326</c:v>
                </c:pt>
                <c:pt idx="149">
                  <c:v>88.714383673466486</c:v>
                </c:pt>
                <c:pt idx="150">
                  <c:v>89.869341808443366</c:v>
                </c:pt>
                <c:pt idx="151">
                  <c:v>90.186552387351966</c:v>
                </c:pt>
                <c:pt idx="152">
                  <c:v>90.572655491259695</c:v>
                </c:pt>
                <c:pt idx="153">
                  <c:v>91.296898944348584</c:v>
                </c:pt>
                <c:pt idx="154">
                  <c:v>91.663565730324194</c:v>
                </c:pt>
                <c:pt idx="155">
                  <c:v>92.19450264751309</c:v>
                </c:pt>
                <c:pt idx="156">
                  <c:v>92.686058728886977</c:v>
                </c:pt>
                <c:pt idx="157">
                  <c:v>93.12409555784356</c:v>
                </c:pt>
                <c:pt idx="158">
                  <c:v>93.265332647593311</c:v>
                </c:pt>
                <c:pt idx="159">
                  <c:v>93.541098337305968</c:v>
                </c:pt>
                <c:pt idx="160">
                  <c:v>94.067677111752957</c:v>
                </c:pt>
                <c:pt idx="161">
                  <c:v>94.282259657913343</c:v>
                </c:pt>
                <c:pt idx="162">
                  <c:v>94.23965965791335</c:v>
                </c:pt>
                <c:pt idx="163">
                  <c:v>94.094480672373322</c:v>
                </c:pt>
                <c:pt idx="164">
                  <c:v>93.838994911644747</c:v>
                </c:pt>
                <c:pt idx="165">
                  <c:v>93.441098337305959</c:v>
                </c:pt>
                <c:pt idx="166">
                  <c:v>93.304309846699852</c:v>
                </c:pt>
                <c:pt idx="167">
                  <c:v>92.880523865301086</c:v>
                </c:pt>
                <c:pt idx="168">
                  <c:v>92.541149637977881</c:v>
                </c:pt>
                <c:pt idx="169">
                  <c:v>92.189986670479499</c:v>
                </c:pt>
                <c:pt idx="170">
                  <c:v>91.829374054087594</c:v>
                </c:pt>
                <c:pt idx="171">
                  <c:v>91.288902379586958</c:v>
                </c:pt>
                <c:pt idx="172">
                  <c:v>90.766938989755346</c:v>
                </c:pt>
                <c:pt idx="173">
                  <c:v>90.055783156582734</c:v>
                </c:pt>
                <c:pt idx="174">
                  <c:v>89.473175992022931</c:v>
                </c:pt>
                <c:pt idx="175">
                  <c:v>89.258698684187465</c:v>
                </c:pt>
                <c:pt idx="176">
                  <c:v>89.038790998158206</c:v>
                </c:pt>
                <c:pt idx="177">
                  <c:v>88.855837456631079</c:v>
                </c:pt>
                <c:pt idx="178">
                  <c:v>88.898504123297741</c:v>
                </c:pt>
                <c:pt idx="179">
                  <c:v>88.652783338968106</c:v>
                </c:pt>
                <c:pt idx="180">
                  <c:v>88.372298872973971</c:v>
                </c:pt>
                <c:pt idx="181">
                  <c:v>87.912077198473327</c:v>
                </c:pt>
                <c:pt idx="182">
                  <c:v>88.092077198473319</c:v>
                </c:pt>
                <c:pt idx="183">
                  <c:v>88.49885974463372</c:v>
                </c:pt>
                <c:pt idx="184">
                  <c:v>88.981533338968106</c:v>
                </c:pt>
                <c:pt idx="185">
                  <c:v>89.658698684187456</c:v>
                </c:pt>
                <c:pt idx="186">
                  <c:v>89.621856578924309</c:v>
                </c:pt>
                <c:pt idx="187">
                  <c:v>89.577646052608515</c:v>
                </c:pt>
                <c:pt idx="188">
                  <c:v>89.934484665586226</c:v>
                </c:pt>
                <c:pt idx="189">
                  <c:v>90.636655491259702</c:v>
                </c:pt>
                <c:pt idx="190">
                  <c:v>90.547893586497793</c:v>
                </c:pt>
                <c:pt idx="191">
                  <c:v>90.267463418849374</c:v>
                </c:pt>
                <c:pt idx="192">
                  <c:v>90.176531741830743</c:v>
                </c:pt>
                <c:pt idx="193">
                  <c:v>90.239612012998833</c:v>
                </c:pt>
                <c:pt idx="194">
                  <c:v>89.723074126482402</c:v>
                </c:pt>
                <c:pt idx="195">
                  <c:v>89.282484665586225</c:v>
                </c:pt>
                <c:pt idx="196">
                  <c:v>89.073175992022925</c:v>
                </c:pt>
                <c:pt idx="197">
                  <c:v>89.466067969219964</c:v>
                </c:pt>
                <c:pt idx="198">
                  <c:v>89.816949133135097</c:v>
                </c:pt>
                <c:pt idx="199">
                  <c:v>90.149456016342569</c:v>
                </c:pt>
                <c:pt idx="200">
                  <c:v>90.290180747997113</c:v>
                </c:pt>
                <c:pt idx="201">
                  <c:v>90.246609319425673</c:v>
                </c:pt>
                <c:pt idx="202">
                  <c:v>89.565887064169573</c:v>
                </c:pt>
                <c:pt idx="203">
                  <c:v>89.03859210715099</c:v>
                </c:pt>
                <c:pt idx="204">
                  <c:v>88.727817998919562</c:v>
                </c:pt>
                <c:pt idx="205">
                  <c:v>89.427322157926369</c:v>
                </c:pt>
                <c:pt idx="206">
                  <c:v>90.420596033354499</c:v>
                </c:pt>
                <c:pt idx="207">
                  <c:v>90.376959669718147</c:v>
                </c:pt>
                <c:pt idx="208">
                  <c:v>90.656231196944731</c:v>
                </c:pt>
                <c:pt idx="209">
                  <c:v>90.407016249643988</c:v>
                </c:pt>
                <c:pt idx="210">
                  <c:v>89.812898944348589</c:v>
                </c:pt>
                <c:pt idx="211">
                  <c:v>90.746124262617087</c:v>
                </c:pt>
                <c:pt idx="212">
                  <c:v>90.701799938292766</c:v>
                </c:pt>
                <c:pt idx="213">
                  <c:v>91.00905872888697</c:v>
                </c:pt>
                <c:pt idx="214">
                  <c:v>91.770809846699848</c:v>
                </c:pt>
                <c:pt idx="215">
                  <c:v>91.555524129272129</c:v>
                </c:pt>
                <c:pt idx="216">
                  <c:v>92.101098337305956</c:v>
                </c:pt>
                <c:pt idx="217">
                  <c:v>91.380344443172689</c:v>
                </c:pt>
                <c:pt idx="218">
                  <c:v>91.302422365250607</c:v>
                </c:pt>
                <c:pt idx="219">
                  <c:v>91.212422365250603</c:v>
                </c:pt>
                <c:pt idx="220">
                  <c:v>91.390523865301091</c:v>
                </c:pt>
                <c:pt idx="221">
                  <c:v>91.545332647593312</c:v>
                </c:pt>
                <c:pt idx="222">
                  <c:v>91.482932647593302</c:v>
                </c:pt>
                <c:pt idx="223">
                  <c:v>91.242123865301096</c:v>
                </c:pt>
                <c:pt idx="224">
                  <c:v>91.255338680115898</c:v>
                </c:pt>
                <c:pt idx="225">
                  <c:v>92.041957874607718</c:v>
                </c:pt>
                <c:pt idx="226">
                  <c:v>92.3693324986764</c:v>
                </c:pt>
                <c:pt idx="227">
                  <c:v>92.145775447387038</c:v>
                </c:pt>
                <c:pt idx="228">
                  <c:v>91.546272305307696</c:v>
                </c:pt>
                <c:pt idx="229">
                  <c:v>91.638994911644744</c:v>
                </c:pt>
                <c:pt idx="230">
                  <c:v>91.50837756846559</c:v>
                </c:pt>
                <c:pt idx="231">
                  <c:v>91.241098337305957</c:v>
                </c:pt>
                <c:pt idx="232">
                  <c:v>90.08125939775222</c:v>
                </c:pt>
                <c:pt idx="233">
                  <c:v>90.679347394712849</c:v>
                </c:pt>
                <c:pt idx="234">
                  <c:v>91.463671686112662</c:v>
                </c:pt>
                <c:pt idx="235">
                  <c:v>91.151686572600084</c:v>
                </c:pt>
                <c:pt idx="236">
                  <c:v>90.434539090471105</c:v>
                </c:pt>
                <c:pt idx="237">
                  <c:v>91.004309846699854</c:v>
                </c:pt>
                <c:pt idx="238">
                  <c:v>90.761486493747157</c:v>
                </c:pt>
                <c:pt idx="239">
                  <c:v>90.543537775798427</c:v>
                </c:pt>
                <c:pt idx="240">
                  <c:v>91.402592188033836</c:v>
                </c:pt>
                <c:pt idx="241">
                  <c:v>92.256258381317352</c:v>
                </c:pt>
                <c:pt idx="242">
                  <c:v>91.941963474328375</c:v>
                </c:pt>
                <c:pt idx="243">
                  <c:v>93.12807184086148</c:v>
                </c:pt>
                <c:pt idx="244">
                  <c:v>92.635268486911826</c:v>
                </c:pt>
                <c:pt idx="245">
                  <c:v>91.904071762501658</c:v>
                </c:pt>
                <c:pt idx="246">
                  <c:v>91.817263251863366</c:v>
                </c:pt>
                <c:pt idx="247">
                  <c:v>91.302133252247742</c:v>
                </c:pt>
                <c:pt idx="248">
                  <c:v>93.193255404539329</c:v>
                </c:pt>
                <c:pt idx="249">
                  <c:v>90.311773794880693</c:v>
                </c:pt>
                <c:pt idx="250">
                  <c:v>92.025713691806715</c:v>
                </c:pt>
                <c:pt idx="251">
                  <c:v>94.676728684348348</c:v>
                </c:pt>
                <c:pt idx="252">
                  <c:v>91.402133252247737</c:v>
                </c:pt>
                <c:pt idx="253">
                  <c:v>86.651148016323489</c:v>
                </c:pt>
                <c:pt idx="254">
                  <c:v>84.438430167266901</c:v>
                </c:pt>
                <c:pt idx="255">
                  <c:v>86.686590382021265</c:v>
                </c:pt>
                <c:pt idx="256">
                  <c:v>85.085408663090845</c:v>
                </c:pt>
              </c:numCache>
            </c:numRef>
          </c:yVal>
        </c:ser>
        <c:ser>
          <c:idx val="1"/>
          <c:order val="2"/>
          <c:tx>
            <c:strRef>
              <c:f>'DT94-8'!$Q$17</c:f>
              <c:strCache>
                <c:ptCount val="1"/>
                <c:pt idx="0">
                  <c:v>DT94-8 (2)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'DT94-8'!$Q$18:$Q$274</c:f>
              <c:numCache>
                <c:formatCode>General</c:formatCode>
                <c:ptCount val="257"/>
                <c:pt idx="132">
                  <c:v>73.611798597467086</c:v>
                </c:pt>
                <c:pt idx="133">
                  <c:v>74.394352300631596</c:v>
                </c:pt>
                <c:pt idx="134">
                  <c:v>75.110523518419583</c:v>
                </c:pt>
                <c:pt idx="135">
                  <c:v>75.76496564360383</c:v>
                </c:pt>
                <c:pt idx="136">
                  <c:v>76.245352560792725</c:v>
                </c:pt>
                <c:pt idx="137">
                  <c:v>76.706658642166587</c:v>
                </c:pt>
                <c:pt idx="138">
                  <c:v>77.308732560872926</c:v>
                </c:pt>
                <c:pt idx="139">
                  <c:v>77.764365903764954</c:v>
                </c:pt>
                <c:pt idx="140">
                  <c:v>78.188277025032576</c:v>
                </c:pt>
                <c:pt idx="141">
                  <c:v>78.563265745289343</c:v>
                </c:pt>
                <c:pt idx="142">
                  <c:v>79.039324038741853</c:v>
                </c:pt>
                <c:pt idx="143">
                  <c:v>79.490640596716673</c:v>
                </c:pt>
                <c:pt idx="144">
                  <c:v>80.126477285193701</c:v>
                </c:pt>
                <c:pt idx="145">
                  <c:v>80.622948959694327</c:v>
                </c:pt>
                <c:pt idx="146">
                  <c:v>81.092570876684803</c:v>
                </c:pt>
                <c:pt idx="147">
                  <c:v>81.538098770907851</c:v>
                </c:pt>
                <c:pt idx="148">
                  <c:v>81.961884752306617</c:v>
                </c:pt>
                <c:pt idx="149">
                  <c:v>82.340809616929491</c:v>
                </c:pt>
                <c:pt idx="150">
                  <c:v>82.638912720837226</c:v>
                </c:pt>
                <c:pt idx="151">
                  <c:v>82.921723691860322</c:v>
                </c:pt>
                <c:pt idx="152">
                  <c:v>83.065295384402816</c:v>
                </c:pt>
                <c:pt idx="153">
                  <c:v>83.065295384402816</c:v>
                </c:pt>
                <c:pt idx="154">
                  <c:v>83.091295384402812</c:v>
                </c:pt>
                <c:pt idx="155">
                  <c:v>82.991473691860321</c:v>
                </c:pt>
                <c:pt idx="156">
                  <c:v>83.021723691860331</c:v>
                </c:pt>
                <c:pt idx="157">
                  <c:v>83.165295384402825</c:v>
                </c:pt>
                <c:pt idx="158">
                  <c:v>83.165295384402825</c:v>
                </c:pt>
                <c:pt idx="159">
                  <c:v>83.236200999695811</c:v>
                </c:pt>
                <c:pt idx="160">
                  <c:v>83.582298163865204</c:v>
                </c:pt>
                <c:pt idx="161">
                  <c:v>83.679765817044583</c:v>
                </c:pt>
                <c:pt idx="162">
                  <c:v>83.964974140807954</c:v>
                </c:pt>
                <c:pt idx="163">
                  <c:v>84.135680498932558</c:v>
                </c:pt>
                <c:pt idx="164">
                  <c:v>84.260659484472612</c:v>
                </c:pt>
                <c:pt idx="165">
                  <c:v>84.260659484472612</c:v>
                </c:pt>
                <c:pt idx="166">
                  <c:v>84.260659484472612</c:v>
                </c:pt>
                <c:pt idx="167">
                  <c:v>84.260659484472612</c:v>
                </c:pt>
                <c:pt idx="168">
                  <c:v>84.639536374962262</c:v>
                </c:pt>
                <c:pt idx="169">
                  <c:v>84.883697802530577</c:v>
                </c:pt>
                <c:pt idx="170">
                  <c:v>85.284498424026353</c:v>
                </c:pt>
                <c:pt idx="171">
                  <c:v>85.767077198473331</c:v>
                </c:pt>
                <c:pt idx="172">
                  <c:v>85.512393039801353</c:v>
                </c:pt>
                <c:pt idx="173">
                  <c:v>85.289729193257116</c:v>
                </c:pt>
                <c:pt idx="174">
                  <c:v>85.044732734313669</c:v>
                </c:pt>
                <c:pt idx="175">
                  <c:v>85.320498424026354</c:v>
                </c:pt>
                <c:pt idx="176">
                  <c:v>85.428399061760459</c:v>
                </c:pt>
                <c:pt idx="177">
                  <c:v>85.630444321852636</c:v>
                </c:pt>
                <c:pt idx="178">
                  <c:v>85.932410531806653</c:v>
                </c:pt>
                <c:pt idx="179">
                  <c:v>86.019917709058817</c:v>
                </c:pt>
                <c:pt idx="180">
                  <c:v>86.127609744633745</c:v>
                </c:pt>
                <c:pt idx="181">
                  <c:v>86.16385974463374</c:v>
                </c:pt>
                <c:pt idx="182">
                  <c:v>86.343859744633733</c:v>
                </c:pt>
                <c:pt idx="183">
                  <c:v>86.498859744633734</c:v>
                </c:pt>
                <c:pt idx="184">
                  <c:v>86.743548872973946</c:v>
                </c:pt>
                <c:pt idx="185">
                  <c:v>86.743548872973946</c:v>
                </c:pt>
                <c:pt idx="186">
                  <c:v>86.850278460253278</c:v>
                </c:pt>
                <c:pt idx="187">
                  <c:v>87.132118158385481</c:v>
                </c:pt>
                <c:pt idx="188">
                  <c:v>87.93448466558624</c:v>
                </c:pt>
                <c:pt idx="189">
                  <c:v>88.250552387351973</c:v>
                </c:pt>
                <c:pt idx="190">
                  <c:v>88.547893586497807</c:v>
                </c:pt>
                <c:pt idx="191">
                  <c:v>88.458369776973996</c:v>
                </c:pt>
                <c:pt idx="192">
                  <c:v>88.367438099955365</c:v>
                </c:pt>
                <c:pt idx="193">
                  <c:v>88.239612012998847</c:v>
                </c:pt>
                <c:pt idx="194">
                  <c:v>88.29597775547299</c:v>
                </c:pt>
                <c:pt idx="195">
                  <c:v>88.072655491259709</c:v>
                </c:pt>
                <c:pt idx="196">
                  <c:v>87.686552387351966</c:v>
                </c:pt>
                <c:pt idx="197">
                  <c:v>88.051855491259715</c:v>
                </c:pt>
                <c:pt idx="198">
                  <c:v>88.732098944348607</c:v>
                </c:pt>
                <c:pt idx="199">
                  <c:v>89.027565730324199</c:v>
                </c:pt>
                <c:pt idx="200">
                  <c:v>89.150873392501154</c:v>
                </c:pt>
                <c:pt idx="201">
                  <c:v>89.269659768373288</c:v>
                </c:pt>
                <c:pt idx="202">
                  <c:v>88.653040310621421</c:v>
                </c:pt>
                <c:pt idx="203">
                  <c:v>88.34862308227963</c:v>
                </c:pt>
                <c:pt idx="204">
                  <c:v>88.066753791531838</c:v>
                </c:pt>
                <c:pt idx="205">
                  <c:v>88.657682916310677</c:v>
                </c:pt>
                <c:pt idx="206">
                  <c:v>89.517569393501404</c:v>
                </c:pt>
                <c:pt idx="207">
                  <c:v>89.904726586987238</c:v>
                </c:pt>
                <c:pt idx="208">
                  <c:v>89.856189790450429</c:v>
                </c:pt>
                <c:pt idx="209">
                  <c:v>89.484523865301099</c:v>
                </c:pt>
                <c:pt idx="210">
                  <c:v>89.102058728886959</c:v>
                </c:pt>
                <c:pt idx="211">
                  <c:v>89.630197512458153</c:v>
                </c:pt>
                <c:pt idx="212">
                  <c:v>89.99630653102588</c:v>
                </c:pt>
                <c:pt idx="213">
                  <c:v>90.39067711175295</c:v>
                </c:pt>
                <c:pt idx="214">
                  <c:v>90.93064878625357</c:v>
                </c:pt>
                <c:pt idx="215">
                  <c:v>90.499105683181526</c:v>
                </c:pt>
                <c:pt idx="216">
                  <c:v>91.124148786253571</c:v>
                </c:pt>
                <c:pt idx="217">
                  <c:v>90.761962826038669</c:v>
                </c:pt>
                <c:pt idx="218">
                  <c:v>90.424741204829232</c:v>
                </c:pt>
                <c:pt idx="219">
                  <c:v>90.334741204829228</c:v>
                </c:pt>
                <c:pt idx="220">
                  <c:v>90.729459657913367</c:v>
                </c:pt>
                <c:pt idx="221">
                  <c:v>90.844148786253584</c:v>
                </c:pt>
                <c:pt idx="222">
                  <c:v>90.53705965791336</c:v>
                </c:pt>
                <c:pt idx="223">
                  <c:v>90.581059657913357</c:v>
                </c:pt>
                <c:pt idx="224">
                  <c:v>90.838963601068386</c:v>
                </c:pt>
                <c:pt idx="225">
                  <c:v>91.362353874400796</c:v>
                </c:pt>
                <c:pt idx="226">
                  <c:v>91.829751245532506</c:v>
                </c:pt>
                <c:pt idx="227">
                  <c:v>91.305614386940789</c:v>
                </c:pt>
                <c:pt idx="228">
                  <c:v>90.771665440086153</c:v>
                </c:pt>
                <c:pt idx="229">
                  <c:v>91.393775905302547</c:v>
                </c:pt>
                <c:pt idx="230">
                  <c:v>91.179298597467096</c:v>
                </c:pt>
                <c:pt idx="231">
                  <c:v>90.383956060037335</c:v>
                </c:pt>
                <c:pt idx="232">
                  <c:v>89.638994911644744</c:v>
                </c:pt>
                <c:pt idx="233">
                  <c:v>90.262972315665337</c:v>
                </c:pt>
                <c:pt idx="234">
                  <c:v>91.025334801084114</c:v>
                </c:pt>
                <c:pt idx="235">
                  <c:v>90.412721487541873</c:v>
                </c:pt>
                <c:pt idx="236">
                  <c:v>89.919459657913364</c:v>
                </c:pt>
                <c:pt idx="237">
                  <c:v>90.633770703244053</c:v>
                </c:pt>
                <c:pt idx="238">
                  <c:v>89.815613504067215</c:v>
                </c:pt>
                <c:pt idx="239">
                  <c:v>90.080338380452872</c:v>
                </c:pt>
                <c:pt idx="240">
                  <c:v>91.190600412620057</c:v>
                </c:pt>
                <c:pt idx="241">
                  <c:v>91.304019770511118</c:v>
                </c:pt>
                <c:pt idx="242">
                  <c:v>91.601448175623673</c:v>
                </c:pt>
                <c:pt idx="243">
                  <c:v>93.822043318810614</c:v>
                </c:pt>
                <c:pt idx="244">
                  <c:v>92.818157875413178</c:v>
                </c:pt>
                <c:pt idx="245">
                  <c:v>92.730654818431034</c:v>
                </c:pt>
                <c:pt idx="246">
                  <c:v>92.481488503349169</c:v>
                </c:pt>
                <c:pt idx="247">
                  <c:v>91.380055929622188</c:v>
                </c:pt>
                <c:pt idx="248">
                  <c:v>92.745352560792739</c:v>
                </c:pt>
                <c:pt idx="249">
                  <c:v>89.982694823882198</c:v>
                </c:pt>
                <c:pt idx="250">
                  <c:v>91.42647102396181</c:v>
                </c:pt>
                <c:pt idx="251">
                  <c:v>94.287120620746094</c:v>
                </c:pt>
                <c:pt idx="252">
                  <c:v>94.296365903764965</c:v>
                </c:pt>
                <c:pt idx="253">
                  <c:v>90.876131233236833</c:v>
                </c:pt>
                <c:pt idx="254">
                  <c:v>88.45903008054654</c:v>
                </c:pt>
                <c:pt idx="255">
                  <c:v>88.208415563134906</c:v>
                </c:pt>
                <c:pt idx="256">
                  <c:v>84.578081029028937</c:v>
                </c:pt>
              </c:numCache>
            </c:numRef>
          </c:yVal>
        </c:ser>
        <c:ser>
          <c:idx val="3"/>
          <c:order val="3"/>
          <c:tx>
            <c:strRef>
              <c:f>'DT94-8'!$R$17</c:f>
              <c:strCache>
                <c:ptCount val="1"/>
                <c:pt idx="0">
                  <c:v>DT94-8 (3)</c:v>
                </c:pt>
              </c:strCache>
            </c:strRef>
          </c:tx>
          <c:spPr>
            <a:ln w="6350">
              <a:solidFill>
                <a:srgbClr val="FF9900"/>
              </a:solidFill>
            </a:ln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'DT94-8'!$R$18:$R$274</c:f>
              <c:numCache>
                <c:formatCode>General</c:formatCode>
                <c:ptCount val="257"/>
                <c:pt idx="132">
                  <c:v>74.634849046414715</c:v>
                </c:pt>
                <c:pt idx="133">
                  <c:v>74.967255929622198</c:v>
                </c:pt>
                <c:pt idx="134">
                  <c:v>75.46509885762822</c:v>
                </c:pt>
                <c:pt idx="135">
                  <c:v>76.092773967367222</c:v>
                </c:pt>
                <c:pt idx="136">
                  <c:v>76.706658642166587</c:v>
                </c:pt>
                <c:pt idx="137">
                  <c:v>77.424909759979485</c:v>
                </c:pt>
                <c:pt idx="138">
                  <c:v>77.98239482492437</c:v>
                </c:pt>
                <c:pt idx="139">
                  <c:v>78.65274869953322</c:v>
                </c:pt>
                <c:pt idx="140">
                  <c:v>79.039324038741853</c:v>
                </c:pt>
                <c:pt idx="141">
                  <c:v>79.599898510746712</c:v>
                </c:pt>
                <c:pt idx="142">
                  <c:v>80.126477285193701</c:v>
                </c:pt>
                <c:pt idx="143">
                  <c:v>80.622948959694327</c:v>
                </c:pt>
                <c:pt idx="144">
                  <c:v>81.362620284757753</c:v>
                </c:pt>
                <c:pt idx="145">
                  <c:v>81.961884752306617</c:v>
                </c:pt>
                <c:pt idx="146">
                  <c:v>82.599667640576243</c:v>
                </c:pt>
                <c:pt idx="147">
                  <c:v>83.265295384402819</c:v>
                </c:pt>
                <c:pt idx="148">
                  <c:v>83.81696581704459</c:v>
                </c:pt>
                <c:pt idx="149">
                  <c:v>84.435516627329761</c:v>
                </c:pt>
                <c:pt idx="150">
                  <c:v>84.77130260872849</c:v>
                </c:pt>
                <c:pt idx="151">
                  <c:v>85.144732734313664</c:v>
                </c:pt>
                <c:pt idx="152">
                  <c:v>85.6349757318618</c:v>
                </c:pt>
                <c:pt idx="153">
                  <c:v>85.947077198473323</c:v>
                </c:pt>
                <c:pt idx="154">
                  <c:v>86.125020833483745</c:v>
                </c:pt>
                <c:pt idx="155">
                  <c:v>86.513298872973948</c:v>
                </c:pt>
                <c:pt idx="156">
                  <c:v>86.781533338968131</c:v>
                </c:pt>
                <c:pt idx="157">
                  <c:v>87.013170789964434</c:v>
                </c:pt>
                <c:pt idx="158">
                  <c:v>87.673175992022934</c:v>
                </c:pt>
                <c:pt idx="159">
                  <c:v>87.882484665586247</c:v>
                </c:pt>
                <c:pt idx="160">
                  <c:v>88.286552387351975</c:v>
                </c:pt>
                <c:pt idx="161">
                  <c:v>88.635455491259705</c:v>
                </c:pt>
                <c:pt idx="162">
                  <c:v>88.96252360513995</c:v>
                </c:pt>
                <c:pt idx="163">
                  <c:v>89.1214204581985</c:v>
                </c:pt>
                <c:pt idx="164">
                  <c:v>89.296898944348598</c:v>
                </c:pt>
                <c:pt idx="165">
                  <c:v>89.468902379586936</c:v>
                </c:pt>
                <c:pt idx="166">
                  <c:v>89.468902379586936</c:v>
                </c:pt>
                <c:pt idx="167">
                  <c:v>89.637565730324198</c:v>
                </c:pt>
                <c:pt idx="168">
                  <c:v>89.758107158734916</c:v>
                </c:pt>
                <c:pt idx="169">
                  <c:v>89.711743522371279</c:v>
                </c:pt>
                <c:pt idx="170">
                  <c:v>89.667016249644007</c:v>
                </c:pt>
                <c:pt idx="171">
                  <c:v>89.457565730324205</c:v>
                </c:pt>
                <c:pt idx="172">
                  <c:v>89.121514328963983</c:v>
                </c:pt>
                <c:pt idx="173">
                  <c:v>89.166129713579366</c:v>
                </c:pt>
                <c:pt idx="174">
                  <c:v>88.842323605139953</c:v>
                </c:pt>
                <c:pt idx="175">
                  <c:v>88.65945601634256</c:v>
                </c:pt>
                <c:pt idx="176">
                  <c:v>88.472655491259715</c:v>
                </c:pt>
                <c:pt idx="177">
                  <c:v>88.515322157926377</c:v>
                </c:pt>
                <c:pt idx="178">
                  <c:v>88.557988824593039</c:v>
                </c:pt>
                <c:pt idx="179">
                  <c:v>88.543905491259707</c:v>
                </c:pt>
                <c:pt idx="180">
                  <c:v>88.31049913313511</c:v>
                </c:pt>
                <c:pt idx="181">
                  <c:v>88.346749133135106</c:v>
                </c:pt>
                <c:pt idx="182">
                  <c:v>88.717655491259706</c:v>
                </c:pt>
                <c:pt idx="183">
                  <c:v>89.059456016342551</c:v>
                </c:pt>
                <c:pt idx="184">
                  <c:v>89.059456016342551</c:v>
                </c:pt>
                <c:pt idx="185">
                  <c:v>88.872655491259707</c:v>
                </c:pt>
                <c:pt idx="186">
                  <c:v>88.644907027871952</c:v>
                </c:pt>
                <c:pt idx="187">
                  <c:v>88.600696501556158</c:v>
                </c:pt>
                <c:pt idx="188">
                  <c:v>89.094323605139948</c:v>
                </c:pt>
                <c:pt idx="189">
                  <c:v>89.701565730324205</c:v>
                </c:pt>
                <c:pt idx="190">
                  <c:v>89.940612149325673</c:v>
                </c:pt>
                <c:pt idx="191">
                  <c:v>89.851088339801862</c:v>
                </c:pt>
                <c:pt idx="192">
                  <c:v>89.760156662783231</c:v>
                </c:pt>
                <c:pt idx="193">
                  <c:v>90.10195249281719</c:v>
                </c:pt>
                <c:pt idx="194">
                  <c:v>89.971517710208488</c:v>
                </c:pt>
                <c:pt idx="195">
                  <c:v>89.465374054087576</c:v>
                </c:pt>
                <c:pt idx="196">
                  <c:v>89.137565730324198</c:v>
                </c:pt>
                <c:pt idx="197">
                  <c:v>89.116765730324204</c:v>
                </c:pt>
                <c:pt idx="198">
                  <c:v>89.559952647513114</c:v>
                </c:pt>
                <c:pt idx="199">
                  <c:v>89.671259397752237</c:v>
                </c:pt>
                <c:pt idx="200">
                  <c:v>90.228381008158252</c:v>
                </c:pt>
                <c:pt idx="201">
                  <c:v>90.469618361879</c:v>
                </c:pt>
                <c:pt idx="202">
                  <c:v>90.064661796335585</c:v>
                </c:pt>
                <c:pt idx="203">
                  <c:v>89.637782866817986</c:v>
                </c:pt>
                <c:pt idx="204">
                  <c:v>89.226592731085574</c:v>
                </c:pt>
                <c:pt idx="205">
                  <c:v>89.440725395553628</c:v>
                </c:pt>
                <c:pt idx="206">
                  <c:v>90.224128640336275</c:v>
                </c:pt>
                <c:pt idx="207">
                  <c:v>90.707071051146897</c:v>
                </c:pt>
                <c:pt idx="208">
                  <c:v>90.399234711322734</c:v>
                </c:pt>
                <c:pt idx="209">
                  <c:v>90.823459657913361</c:v>
                </c:pt>
                <c:pt idx="210">
                  <c:v>90.483677111752954</c:v>
                </c:pt>
                <c:pt idx="211">
                  <c:v>90.684324522778226</c:v>
                </c:pt>
                <c:pt idx="212">
                  <c:v>90.884689326794117</c:v>
                </c:pt>
                <c:pt idx="213">
                  <c:v>91.12513325224775</c:v>
                </c:pt>
                <c:pt idx="214">
                  <c:v>91.845798597467095</c:v>
                </c:pt>
                <c:pt idx="215">
                  <c:v>91.910727168895676</c:v>
                </c:pt>
                <c:pt idx="216">
                  <c:v>92.667467882499565</c:v>
                </c:pt>
                <c:pt idx="217">
                  <c:v>92.388061619588271</c:v>
                </c:pt>
                <c:pt idx="218">
                  <c:v>91.875754547801463</c:v>
                </c:pt>
                <c:pt idx="219">
                  <c:v>91.328496888611383</c:v>
                </c:pt>
                <c:pt idx="220">
                  <c:v>91.66939091143783</c:v>
                </c:pt>
                <c:pt idx="221">
                  <c:v>91.759298597467108</c:v>
                </c:pt>
                <c:pt idx="222">
                  <c:v>91.696898597467097</c:v>
                </c:pt>
                <c:pt idx="223">
                  <c:v>91.95537590530256</c:v>
                </c:pt>
                <c:pt idx="224">
                  <c:v>91.968590720117362</c:v>
                </c:pt>
                <c:pt idx="225">
                  <c:v>92.006047541828806</c:v>
                </c:pt>
                <c:pt idx="226">
                  <c:v>92.713824495373586</c:v>
                </c:pt>
                <c:pt idx="227">
                  <c:v>92.519571194013025</c:v>
                </c:pt>
                <c:pt idx="228">
                  <c:v>91.845362619341671</c:v>
                </c:pt>
                <c:pt idx="229">
                  <c:v>91.393775905302547</c:v>
                </c:pt>
                <c:pt idx="230">
                  <c:v>91.499060705149688</c:v>
                </c:pt>
                <c:pt idx="231">
                  <c:v>91.603084578865833</c:v>
                </c:pt>
                <c:pt idx="232">
                  <c:v>90.502133252247745</c:v>
                </c:pt>
                <c:pt idx="233">
                  <c:v>90.262972315665337</c:v>
                </c:pt>
                <c:pt idx="234">
                  <c:v>91.025334801084114</c:v>
                </c:pt>
                <c:pt idx="235">
                  <c:v>91.089886832761223</c:v>
                </c:pt>
                <c:pt idx="236">
                  <c:v>90.859390911437828</c:v>
                </c:pt>
                <c:pt idx="237">
                  <c:v>90.859390911437828</c:v>
                </c:pt>
                <c:pt idx="238">
                  <c:v>90.975452443620952</c:v>
                </c:pt>
                <c:pt idx="239">
                  <c:v>90.311975831449175</c:v>
                </c:pt>
                <c:pt idx="240">
                  <c:v>90.776908435423039</c:v>
                </c:pt>
                <c:pt idx="241">
                  <c:v>92.920483632803155</c:v>
                </c:pt>
                <c:pt idx="242">
                  <c:v>92.4976950639509</c:v>
                </c:pt>
                <c:pt idx="243">
                  <c:v>93.222778851261751</c:v>
                </c:pt>
                <c:pt idx="244">
                  <c:v>93.287779792403654</c:v>
                </c:pt>
                <c:pt idx="245">
                  <c:v>92.318924202795486</c:v>
                </c:pt>
                <c:pt idx="246">
                  <c:v>92.147374633292102</c:v>
                </c:pt>
                <c:pt idx="247">
                  <c:v>92.08950229286657</c:v>
                </c:pt>
                <c:pt idx="248">
                  <c:v>91.193255404539343</c:v>
                </c:pt>
                <c:pt idx="249">
                  <c:v>88.311773794880693</c:v>
                </c:pt>
                <c:pt idx="250">
                  <c:v>90.025713691806729</c:v>
                </c:pt>
                <c:pt idx="251">
                  <c:v>93.80635580339731</c:v>
                </c:pt>
                <c:pt idx="252">
                  <c:v>93.885932560872916</c:v>
                </c:pt>
                <c:pt idx="253">
                  <c:v>90.6717479296031</c:v>
                </c:pt>
                <c:pt idx="254">
                  <c:v>86.655497473564765</c:v>
                </c:pt>
                <c:pt idx="255">
                  <c:v>85.900547189093515</c:v>
                </c:pt>
                <c:pt idx="256">
                  <c:v>82.524834191085986</c:v>
                </c:pt>
              </c:numCache>
            </c:numRef>
          </c:yVal>
        </c:ser>
        <c:axId val="83549184"/>
        <c:axId val="83559552"/>
      </c:scatterChart>
      <c:valAx>
        <c:axId val="83549184"/>
        <c:scaling>
          <c:logBase val="10"/>
          <c:orientation val="minMax"/>
          <c:max val="3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9196528508552009"/>
              <c:y val="0.86535688247302867"/>
            </c:manualLayout>
          </c:layout>
        </c:title>
        <c:numFmt formatCode="General" sourceLinked="1"/>
        <c:tickLblPos val="nextTo"/>
        <c:crossAx val="83559552"/>
        <c:crossesAt val="-30"/>
        <c:crossBetween val="midCat"/>
      </c:valAx>
      <c:valAx>
        <c:axId val="83559552"/>
        <c:scaling>
          <c:orientation val="minMax"/>
          <c:max val="100"/>
          <c:min val="6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[dB]</a:t>
                </a:r>
              </a:p>
            </c:rich>
          </c:tx>
          <c:layout>
            <c:manualLayout>
              <c:xMode val="edge"/>
              <c:yMode val="edge"/>
              <c:x val="0"/>
              <c:y val="6.4734450561686724E-2"/>
            </c:manualLayout>
          </c:layout>
        </c:title>
        <c:numFmt formatCode="General" sourceLinked="1"/>
        <c:tickLblPos val="nextTo"/>
        <c:crossAx val="83549184"/>
        <c:crosses val="autoZero"/>
        <c:crossBetween val="midCat"/>
        <c:majorUnit val="5"/>
      </c:valAx>
    </c:plotArea>
    <c:legend>
      <c:legendPos val="b"/>
      <c:layout>
        <c:manualLayout>
          <c:xMode val="edge"/>
          <c:yMode val="edge"/>
          <c:x val="0.11378472305190605"/>
          <c:y val="0.91628280839894949"/>
          <c:w val="0.77243055389618975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5057643111066951"/>
          <c:y val="5.1400554097404488E-2"/>
          <c:w val="0.78640247184291101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'DT94-8'!$I$17</c:f>
              <c:strCache>
                <c:ptCount val="1"/>
                <c:pt idx="0">
                  <c:v>DT94-8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'DT94-8'!$J$18:$J$274</c:f>
              <c:numCache>
                <c:formatCode>General</c:formatCode>
                <c:ptCount val="257"/>
                <c:pt idx="0">
                  <c:v>159.05000000000001</c:v>
                </c:pt>
                <c:pt idx="1">
                  <c:v>158.76</c:v>
                </c:pt>
                <c:pt idx="2">
                  <c:v>158.47999999999999</c:v>
                </c:pt>
                <c:pt idx="3">
                  <c:v>158.19</c:v>
                </c:pt>
                <c:pt idx="4">
                  <c:v>157.91</c:v>
                </c:pt>
                <c:pt idx="5">
                  <c:v>157.63999999999999</c:v>
                </c:pt>
                <c:pt idx="6">
                  <c:v>157.37</c:v>
                </c:pt>
                <c:pt idx="7">
                  <c:v>157.1</c:v>
                </c:pt>
                <c:pt idx="8">
                  <c:v>156.84</c:v>
                </c:pt>
                <c:pt idx="9">
                  <c:v>156.58000000000001</c:v>
                </c:pt>
                <c:pt idx="10">
                  <c:v>156.33000000000001</c:v>
                </c:pt>
                <c:pt idx="11">
                  <c:v>156.09</c:v>
                </c:pt>
                <c:pt idx="12">
                  <c:v>155.86000000000001</c:v>
                </c:pt>
                <c:pt idx="13">
                  <c:v>155.63999999999999</c:v>
                </c:pt>
                <c:pt idx="14">
                  <c:v>155.43</c:v>
                </c:pt>
                <c:pt idx="15">
                  <c:v>155.22999999999999</c:v>
                </c:pt>
                <c:pt idx="16">
                  <c:v>155.04</c:v>
                </c:pt>
                <c:pt idx="17">
                  <c:v>154.86000000000001</c:v>
                </c:pt>
                <c:pt idx="18">
                  <c:v>154.69999999999999</c:v>
                </c:pt>
                <c:pt idx="19">
                  <c:v>154.56</c:v>
                </c:pt>
                <c:pt idx="20">
                  <c:v>154.41999999999999</c:v>
                </c:pt>
                <c:pt idx="21">
                  <c:v>154.31</c:v>
                </c:pt>
                <c:pt idx="22">
                  <c:v>154.21</c:v>
                </c:pt>
                <c:pt idx="23">
                  <c:v>154.13</c:v>
                </c:pt>
                <c:pt idx="24">
                  <c:v>154.07</c:v>
                </c:pt>
                <c:pt idx="25">
                  <c:v>154.03</c:v>
                </c:pt>
                <c:pt idx="26">
                  <c:v>154.02000000000001</c:v>
                </c:pt>
                <c:pt idx="27">
                  <c:v>154.02000000000001</c:v>
                </c:pt>
                <c:pt idx="28">
                  <c:v>154.05000000000001</c:v>
                </c:pt>
                <c:pt idx="29">
                  <c:v>154.1</c:v>
                </c:pt>
                <c:pt idx="30">
                  <c:v>154.16999999999999</c:v>
                </c:pt>
                <c:pt idx="31">
                  <c:v>154.27000000000001</c:v>
                </c:pt>
                <c:pt idx="32">
                  <c:v>154.4</c:v>
                </c:pt>
                <c:pt idx="33">
                  <c:v>154.56</c:v>
                </c:pt>
                <c:pt idx="34">
                  <c:v>154.74</c:v>
                </c:pt>
                <c:pt idx="35">
                  <c:v>154.94999999999999</c:v>
                </c:pt>
                <c:pt idx="36">
                  <c:v>155.19</c:v>
                </c:pt>
                <c:pt idx="37">
                  <c:v>155.46</c:v>
                </c:pt>
                <c:pt idx="38">
                  <c:v>155.76</c:v>
                </c:pt>
                <c:pt idx="39">
                  <c:v>156.09</c:v>
                </c:pt>
                <c:pt idx="40">
                  <c:v>156.46</c:v>
                </c:pt>
                <c:pt idx="41">
                  <c:v>156.85</c:v>
                </c:pt>
                <c:pt idx="42">
                  <c:v>157.28</c:v>
                </c:pt>
                <c:pt idx="43">
                  <c:v>157.75</c:v>
                </c:pt>
                <c:pt idx="44">
                  <c:v>158.24</c:v>
                </c:pt>
                <c:pt idx="45">
                  <c:v>158.77000000000001</c:v>
                </c:pt>
                <c:pt idx="46">
                  <c:v>159.34</c:v>
                </c:pt>
                <c:pt idx="47">
                  <c:v>159.94</c:v>
                </c:pt>
                <c:pt idx="48">
                  <c:v>160.57</c:v>
                </c:pt>
                <c:pt idx="49">
                  <c:v>161.24</c:v>
                </c:pt>
                <c:pt idx="50">
                  <c:v>161.94</c:v>
                </c:pt>
                <c:pt idx="51">
                  <c:v>162.68</c:v>
                </c:pt>
                <c:pt idx="52">
                  <c:v>163.44999999999999</c:v>
                </c:pt>
                <c:pt idx="53">
                  <c:v>164.26</c:v>
                </c:pt>
                <c:pt idx="54">
                  <c:v>165.1</c:v>
                </c:pt>
                <c:pt idx="55">
                  <c:v>165.97</c:v>
                </c:pt>
                <c:pt idx="56">
                  <c:v>166.88</c:v>
                </c:pt>
                <c:pt idx="57">
                  <c:v>167.82</c:v>
                </c:pt>
                <c:pt idx="58">
                  <c:v>168.79</c:v>
                </c:pt>
                <c:pt idx="59">
                  <c:v>169.79</c:v>
                </c:pt>
                <c:pt idx="60">
                  <c:v>173.18</c:v>
                </c:pt>
                <c:pt idx="61">
                  <c:v>179.66</c:v>
                </c:pt>
                <c:pt idx="62">
                  <c:v>178.24</c:v>
                </c:pt>
                <c:pt idx="63">
                  <c:v>-179.4</c:v>
                </c:pt>
                <c:pt idx="64">
                  <c:v>-172.9</c:v>
                </c:pt>
                <c:pt idx="65">
                  <c:v>-167.2</c:v>
                </c:pt>
                <c:pt idx="66">
                  <c:v>-162.30000000000001</c:v>
                </c:pt>
                <c:pt idx="67">
                  <c:v>-163.1</c:v>
                </c:pt>
                <c:pt idx="68">
                  <c:v>-165.1</c:v>
                </c:pt>
                <c:pt idx="69">
                  <c:v>-167.5</c:v>
                </c:pt>
                <c:pt idx="70">
                  <c:v>-165</c:v>
                </c:pt>
                <c:pt idx="71">
                  <c:v>-158.9</c:v>
                </c:pt>
                <c:pt idx="72">
                  <c:v>-158.19999999999999</c:v>
                </c:pt>
                <c:pt idx="73">
                  <c:v>-161</c:v>
                </c:pt>
                <c:pt idx="74">
                  <c:v>-163</c:v>
                </c:pt>
                <c:pt idx="75">
                  <c:v>-160.9</c:v>
                </c:pt>
                <c:pt idx="76">
                  <c:v>-156.4</c:v>
                </c:pt>
                <c:pt idx="77">
                  <c:v>-154.6</c:v>
                </c:pt>
                <c:pt idx="78">
                  <c:v>-158</c:v>
                </c:pt>
                <c:pt idx="79">
                  <c:v>-156.19999999999999</c:v>
                </c:pt>
                <c:pt idx="80">
                  <c:v>-150.19999999999999</c:v>
                </c:pt>
                <c:pt idx="81">
                  <c:v>-149.9</c:v>
                </c:pt>
                <c:pt idx="82">
                  <c:v>-155.80000000000001</c:v>
                </c:pt>
                <c:pt idx="83">
                  <c:v>-159.19999999999999</c:v>
                </c:pt>
                <c:pt idx="84">
                  <c:v>-156.6</c:v>
                </c:pt>
                <c:pt idx="85">
                  <c:v>-154.9</c:v>
                </c:pt>
                <c:pt idx="86">
                  <c:v>-158.30000000000001</c:v>
                </c:pt>
                <c:pt idx="87">
                  <c:v>-157.30000000000001</c:v>
                </c:pt>
                <c:pt idx="88">
                  <c:v>-155.80000000000001</c:v>
                </c:pt>
                <c:pt idx="89">
                  <c:v>-160.5</c:v>
                </c:pt>
                <c:pt idx="90">
                  <c:v>-162.1</c:v>
                </c:pt>
                <c:pt idx="91">
                  <c:v>-161.6</c:v>
                </c:pt>
                <c:pt idx="92">
                  <c:v>-163.69999999999999</c:v>
                </c:pt>
                <c:pt idx="93">
                  <c:v>-163.5</c:v>
                </c:pt>
                <c:pt idx="94">
                  <c:v>-162.1</c:v>
                </c:pt>
                <c:pt idx="95">
                  <c:v>-163.69999999999999</c:v>
                </c:pt>
                <c:pt idx="96">
                  <c:v>-163</c:v>
                </c:pt>
                <c:pt idx="97">
                  <c:v>-163.69999999999999</c:v>
                </c:pt>
                <c:pt idx="98">
                  <c:v>-164.4</c:v>
                </c:pt>
                <c:pt idx="99">
                  <c:v>-164.3</c:v>
                </c:pt>
                <c:pt idx="100">
                  <c:v>-166.3</c:v>
                </c:pt>
                <c:pt idx="101">
                  <c:v>-165.3</c:v>
                </c:pt>
                <c:pt idx="102">
                  <c:v>-164.8</c:v>
                </c:pt>
                <c:pt idx="103">
                  <c:v>-163.69999999999999</c:v>
                </c:pt>
                <c:pt idx="104">
                  <c:v>-164</c:v>
                </c:pt>
                <c:pt idx="105">
                  <c:v>-164</c:v>
                </c:pt>
                <c:pt idx="106">
                  <c:v>-162.80000000000001</c:v>
                </c:pt>
                <c:pt idx="107">
                  <c:v>-163.30000000000001</c:v>
                </c:pt>
                <c:pt idx="108">
                  <c:v>-164</c:v>
                </c:pt>
                <c:pt idx="109">
                  <c:v>-161.30000000000001</c:v>
                </c:pt>
                <c:pt idx="110">
                  <c:v>-160.4</c:v>
                </c:pt>
                <c:pt idx="111">
                  <c:v>-164.6</c:v>
                </c:pt>
                <c:pt idx="112">
                  <c:v>-167.8</c:v>
                </c:pt>
                <c:pt idx="113">
                  <c:v>-168.9</c:v>
                </c:pt>
                <c:pt idx="114">
                  <c:v>-170.3</c:v>
                </c:pt>
                <c:pt idx="115">
                  <c:v>-172.6</c:v>
                </c:pt>
                <c:pt idx="116">
                  <c:v>-174.7</c:v>
                </c:pt>
                <c:pt idx="117">
                  <c:v>-175.3</c:v>
                </c:pt>
                <c:pt idx="118">
                  <c:v>-175</c:v>
                </c:pt>
                <c:pt idx="119">
                  <c:v>-175.7</c:v>
                </c:pt>
                <c:pt idx="120">
                  <c:v>-176.8</c:v>
                </c:pt>
                <c:pt idx="121">
                  <c:v>-177.6</c:v>
                </c:pt>
                <c:pt idx="122">
                  <c:v>-179</c:v>
                </c:pt>
                <c:pt idx="123">
                  <c:v>179.82</c:v>
                </c:pt>
                <c:pt idx="124">
                  <c:v>177.71</c:v>
                </c:pt>
                <c:pt idx="125">
                  <c:v>175.83</c:v>
                </c:pt>
                <c:pt idx="126">
                  <c:v>173.77</c:v>
                </c:pt>
                <c:pt idx="127">
                  <c:v>170.83</c:v>
                </c:pt>
                <c:pt idx="128">
                  <c:v>171.11</c:v>
                </c:pt>
                <c:pt idx="129">
                  <c:v>171.15</c:v>
                </c:pt>
                <c:pt idx="130">
                  <c:v>169.08</c:v>
                </c:pt>
                <c:pt idx="131">
                  <c:v>168.08</c:v>
                </c:pt>
                <c:pt idx="132">
                  <c:v>167.91</c:v>
                </c:pt>
                <c:pt idx="133">
                  <c:v>162.81</c:v>
                </c:pt>
                <c:pt idx="134">
                  <c:v>157.58000000000001</c:v>
                </c:pt>
                <c:pt idx="135">
                  <c:v>165.4</c:v>
                </c:pt>
                <c:pt idx="136">
                  <c:v>169.71</c:v>
                </c:pt>
                <c:pt idx="137">
                  <c:v>166.84</c:v>
                </c:pt>
                <c:pt idx="138">
                  <c:v>164.24</c:v>
                </c:pt>
                <c:pt idx="139">
                  <c:v>160.72999999999999</c:v>
                </c:pt>
                <c:pt idx="140">
                  <c:v>156.13999999999999</c:v>
                </c:pt>
                <c:pt idx="141">
                  <c:v>150.74</c:v>
                </c:pt>
                <c:pt idx="142">
                  <c:v>145.33000000000001</c:v>
                </c:pt>
                <c:pt idx="143">
                  <c:v>144.27000000000001</c:v>
                </c:pt>
                <c:pt idx="144">
                  <c:v>143.94</c:v>
                </c:pt>
                <c:pt idx="145">
                  <c:v>142.81</c:v>
                </c:pt>
                <c:pt idx="146">
                  <c:v>141.47999999999999</c:v>
                </c:pt>
                <c:pt idx="147">
                  <c:v>139.77000000000001</c:v>
                </c:pt>
                <c:pt idx="148">
                  <c:v>136.56</c:v>
                </c:pt>
                <c:pt idx="149">
                  <c:v>132.08000000000001</c:v>
                </c:pt>
                <c:pt idx="150">
                  <c:v>126.04</c:v>
                </c:pt>
                <c:pt idx="151">
                  <c:v>119.06</c:v>
                </c:pt>
                <c:pt idx="152">
                  <c:v>114.38</c:v>
                </c:pt>
                <c:pt idx="153">
                  <c:v>112.68</c:v>
                </c:pt>
                <c:pt idx="154">
                  <c:v>111.83</c:v>
                </c:pt>
                <c:pt idx="155">
                  <c:v>108.84</c:v>
                </c:pt>
                <c:pt idx="156">
                  <c:v>103.39</c:v>
                </c:pt>
                <c:pt idx="157">
                  <c:v>98.935000000000002</c:v>
                </c:pt>
                <c:pt idx="158">
                  <c:v>96.688000000000002</c:v>
                </c:pt>
                <c:pt idx="159">
                  <c:v>95.263000000000005</c:v>
                </c:pt>
                <c:pt idx="160">
                  <c:v>91.480999999999995</c:v>
                </c:pt>
                <c:pt idx="161">
                  <c:v>86.218999999999994</c:v>
                </c:pt>
                <c:pt idx="162">
                  <c:v>82.528000000000006</c:v>
                </c:pt>
                <c:pt idx="163">
                  <c:v>81.522999999999996</c:v>
                </c:pt>
                <c:pt idx="164">
                  <c:v>78.760000000000005</c:v>
                </c:pt>
                <c:pt idx="165">
                  <c:v>74.055999999999997</c:v>
                </c:pt>
                <c:pt idx="166">
                  <c:v>69.177000000000007</c:v>
                </c:pt>
                <c:pt idx="167">
                  <c:v>62.844999999999999</c:v>
                </c:pt>
                <c:pt idx="168">
                  <c:v>58.875</c:v>
                </c:pt>
                <c:pt idx="169">
                  <c:v>56.401000000000003</c:v>
                </c:pt>
                <c:pt idx="170">
                  <c:v>52.618000000000002</c:v>
                </c:pt>
                <c:pt idx="171">
                  <c:v>46.213000000000001</c:v>
                </c:pt>
                <c:pt idx="172">
                  <c:v>35.276000000000003</c:v>
                </c:pt>
                <c:pt idx="173">
                  <c:v>24.21</c:v>
                </c:pt>
                <c:pt idx="174">
                  <c:v>19.431999999999999</c:v>
                </c:pt>
                <c:pt idx="175">
                  <c:v>21.76</c:v>
                </c:pt>
                <c:pt idx="176">
                  <c:v>23.372</c:v>
                </c:pt>
                <c:pt idx="177">
                  <c:v>20.023</c:v>
                </c:pt>
                <c:pt idx="178">
                  <c:v>10.185</c:v>
                </c:pt>
                <c:pt idx="179">
                  <c:v>1.6973</c:v>
                </c:pt>
                <c:pt idx="180">
                  <c:v>-2.327</c:v>
                </c:pt>
                <c:pt idx="181">
                  <c:v>-4.12</c:v>
                </c:pt>
                <c:pt idx="182">
                  <c:v>-6.181</c:v>
                </c:pt>
                <c:pt idx="183">
                  <c:v>-3.738</c:v>
                </c:pt>
                <c:pt idx="184">
                  <c:v>6.8701999999999996</c:v>
                </c:pt>
                <c:pt idx="185">
                  <c:v>15.675000000000001</c:v>
                </c:pt>
                <c:pt idx="186">
                  <c:v>16.300999999999998</c:v>
                </c:pt>
                <c:pt idx="187">
                  <c:v>19.027999999999999</c:v>
                </c:pt>
                <c:pt idx="188">
                  <c:v>24.224</c:v>
                </c:pt>
                <c:pt idx="189">
                  <c:v>29.088999999999999</c:v>
                </c:pt>
                <c:pt idx="190">
                  <c:v>26.137</c:v>
                </c:pt>
                <c:pt idx="191">
                  <c:v>12.443</c:v>
                </c:pt>
                <c:pt idx="192">
                  <c:v>2.4544000000000001</c:v>
                </c:pt>
                <c:pt idx="193">
                  <c:v>-5.4009999999999998</c:v>
                </c:pt>
                <c:pt idx="194">
                  <c:v>-6.492</c:v>
                </c:pt>
                <c:pt idx="195">
                  <c:v>-3.5089999999999999</c:v>
                </c:pt>
                <c:pt idx="196">
                  <c:v>-7.5430000000000001</c:v>
                </c:pt>
                <c:pt idx="197">
                  <c:v>-10.75</c:v>
                </c:pt>
                <c:pt idx="198">
                  <c:v>-14.26</c:v>
                </c:pt>
                <c:pt idx="199">
                  <c:v>-20.28</c:v>
                </c:pt>
                <c:pt idx="200">
                  <c:v>-27.55</c:v>
                </c:pt>
                <c:pt idx="201">
                  <c:v>-27.7</c:v>
                </c:pt>
                <c:pt idx="202">
                  <c:v>-36.71</c:v>
                </c:pt>
                <c:pt idx="203">
                  <c:v>-48.02</c:v>
                </c:pt>
                <c:pt idx="204">
                  <c:v>-59.86</c:v>
                </c:pt>
                <c:pt idx="205">
                  <c:v>-56.75</c:v>
                </c:pt>
                <c:pt idx="206">
                  <c:v>-54.57</c:v>
                </c:pt>
                <c:pt idx="207">
                  <c:v>-61.8</c:v>
                </c:pt>
                <c:pt idx="208">
                  <c:v>-63.69</c:v>
                </c:pt>
                <c:pt idx="209">
                  <c:v>-60.42</c:v>
                </c:pt>
                <c:pt idx="210">
                  <c:v>-57.55</c:v>
                </c:pt>
                <c:pt idx="211">
                  <c:v>-56.7</c:v>
                </c:pt>
                <c:pt idx="212">
                  <c:v>-43.82</c:v>
                </c:pt>
                <c:pt idx="213">
                  <c:v>-28.18</c:v>
                </c:pt>
                <c:pt idx="214">
                  <c:v>-16.54</c:v>
                </c:pt>
                <c:pt idx="215">
                  <c:v>-10.07</c:v>
                </c:pt>
                <c:pt idx="216">
                  <c:v>-24.5</c:v>
                </c:pt>
                <c:pt idx="217">
                  <c:v>-49.48</c:v>
                </c:pt>
                <c:pt idx="218">
                  <c:v>-65.150000000000006</c:v>
                </c:pt>
                <c:pt idx="219">
                  <c:v>-67.12</c:v>
                </c:pt>
                <c:pt idx="220">
                  <c:v>-71.03</c:v>
                </c:pt>
                <c:pt idx="221">
                  <c:v>-77.12</c:v>
                </c:pt>
                <c:pt idx="222">
                  <c:v>-83.19</c:v>
                </c:pt>
                <c:pt idx="223">
                  <c:v>-95.46</c:v>
                </c:pt>
                <c:pt idx="224">
                  <c:v>-106.7</c:v>
                </c:pt>
                <c:pt idx="225">
                  <c:v>-121.7</c:v>
                </c:pt>
                <c:pt idx="226">
                  <c:v>-125.9</c:v>
                </c:pt>
                <c:pt idx="227">
                  <c:v>-138.69999999999999</c:v>
                </c:pt>
                <c:pt idx="228">
                  <c:v>-155.69999999999999</c:v>
                </c:pt>
                <c:pt idx="229">
                  <c:v>-176.3</c:v>
                </c:pt>
                <c:pt idx="230">
                  <c:v>169.1</c:v>
                </c:pt>
                <c:pt idx="231">
                  <c:v>166.4</c:v>
                </c:pt>
                <c:pt idx="232">
                  <c:v>153.84</c:v>
                </c:pt>
                <c:pt idx="233">
                  <c:v>137.94</c:v>
                </c:pt>
                <c:pt idx="234">
                  <c:v>134.15</c:v>
                </c:pt>
                <c:pt idx="235">
                  <c:v>148.16</c:v>
                </c:pt>
                <c:pt idx="236">
                  <c:v>161.65</c:v>
                </c:pt>
                <c:pt idx="237">
                  <c:v>169.11</c:v>
                </c:pt>
                <c:pt idx="238">
                  <c:v>-170.1</c:v>
                </c:pt>
                <c:pt idx="239">
                  <c:v>-134.5</c:v>
                </c:pt>
                <c:pt idx="240">
                  <c:v>-109.3</c:v>
                </c:pt>
                <c:pt idx="241">
                  <c:v>-117.4</c:v>
                </c:pt>
                <c:pt idx="242">
                  <c:v>-167.9</c:v>
                </c:pt>
                <c:pt idx="243">
                  <c:v>137.13</c:v>
                </c:pt>
                <c:pt idx="244">
                  <c:v>108.56</c:v>
                </c:pt>
                <c:pt idx="245">
                  <c:v>95.691999999999993</c:v>
                </c:pt>
                <c:pt idx="246">
                  <c:v>69.575000000000003</c:v>
                </c:pt>
                <c:pt idx="247">
                  <c:v>31.821000000000002</c:v>
                </c:pt>
                <c:pt idx="248">
                  <c:v>-7.52</c:v>
                </c:pt>
                <c:pt idx="249">
                  <c:v>-44.61</c:v>
                </c:pt>
                <c:pt idx="250">
                  <c:v>-88.83</c:v>
                </c:pt>
                <c:pt idx="251">
                  <c:v>-144.5</c:v>
                </c:pt>
                <c:pt idx="252">
                  <c:v>173.2</c:v>
                </c:pt>
                <c:pt idx="253">
                  <c:v>120.63</c:v>
                </c:pt>
                <c:pt idx="254">
                  <c:v>63.712000000000003</c:v>
                </c:pt>
                <c:pt idx="255">
                  <c:v>18.111999999999998</c:v>
                </c:pt>
                <c:pt idx="256">
                  <c:v>-18.989999999999998</c:v>
                </c:pt>
              </c:numCache>
            </c:numRef>
          </c:yVal>
        </c:ser>
        <c:ser>
          <c:idx val="0"/>
          <c:order val="1"/>
          <c:tx>
            <c:strRef>
              <c:f>'DT94-8'!$V$17</c:f>
              <c:strCache>
                <c:ptCount val="1"/>
                <c:pt idx="0">
                  <c:v>DT94-8 (1)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'DT94-8'!$V$18:$V$274</c:f>
              <c:numCache>
                <c:formatCode>General</c:formatCode>
                <c:ptCount val="257"/>
                <c:pt idx="132">
                  <c:v>-167.36578828369667</c:v>
                </c:pt>
                <c:pt idx="133">
                  <c:v>-176.98798954636101</c:v>
                </c:pt>
                <c:pt idx="134">
                  <c:v>173.80996998968246</c:v>
                </c:pt>
                <c:pt idx="135">
                  <c:v>175.23817072378804</c:v>
                </c:pt>
                <c:pt idx="136">
                  <c:v>177.29661265595558</c:v>
                </c:pt>
                <c:pt idx="137">
                  <c:v>174.98529578618482</c:v>
                </c:pt>
                <c:pt idx="138">
                  <c:v>173.30422011447604</c:v>
                </c:pt>
                <c:pt idx="139">
                  <c:v>172.04330524147537</c:v>
                </c:pt>
                <c:pt idx="140">
                  <c:v>171.62271196589035</c:v>
                </c:pt>
                <c:pt idx="141">
                  <c:v>172.04244028772163</c:v>
                </c:pt>
                <c:pt idx="142">
                  <c:v>162.8823294082606</c:v>
                </c:pt>
                <c:pt idx="143">
                  <c:v>154.35245972686138</c:v>
                </c:pt>
                <c:pt idx="144">
                  <c:v>156.87299204223226</c:v>
                </c:pt>
                <c:pt idx="145">
                  <c:v>160.02376555566491</c:v>
                </c:pt>
                <c:pt idx="146">
                  <c:v>158.8047802671596</c:v>
                </c:pt>
                <c:pt idx="147">
                  <c:v>153.63619697542407</c:v>
                </c:pt>
                <c:pt idx="148">
                  <c:v>144.09785488175038</c:v>
                </c:pt>
                <c:pt idx="149">
                  <c:v>140.18975398613884</c:v>
                </c:pt>
                <c:pt idx="150">
                  <c:v>137.54213548665089</c:v>
                </c:pt>
                <c:pt idx="151">
                  <c:v>135.52475818522524</c:v>
                </c:pt>
                <c:pt idx="152">
                  <c:v>129.55778288056939</c:v>
                </c:pt>
                <c:pt idx="153">
                  <c:v>124.43112917332923</c:v>
                </c:pt>
                <c:pt idx="154">
                  <c:v>115.35487746285916</c:v>
                </c:pt>
                <c:pt idx="155">
                  <c:v>107.11894734980476</c:v>
                </c:pt>
                <c:pt idx="156">
                  <c:v>99.933419233520311</c:v>
                </c:pt>
                <c:pt idx="157">
                  <c:v>93.798293114005489</c:v>
                </c:pt>
                <c:pt idx="158">
                  <c:v>88.923649390614941</c:v>
                </c:pt>
                <c:pt idx="159">
                  <c:v>84.679246865286046</c:v>
                </c:pt>
                <c:pt idx="160">
                  <c:v>82.115487534789395</c:v>
                </c:pt>
                <c:pt idx="161">
                  <c:v>80.181969402354412</c:v>
                </c:pt>
                <c:pt idx="162">
                  <c:v>74.929094464751216</c:v>
                </c:pt>
                <c:pt idx="163">
                  <c:v>65.51654112456383</c:v>
                </c:pt>
                <c:pt idx="164">
                  <c:v>57.574550579854389</c:v>
                </c:pt>
                <c:pt idx="165">
                  <c:v>50.682962031914585</c:v>
                </c:pt>
                <c:pt idx="166">
                  <c:v>45.47201667880671</c:v>
                </c:pt>
                <c:pt idx="167">
                  <c:v>41.311473322468792</c:v>
                </c:pt>
                <c:pt idx="168">
                  <c:v>38.621492761608813</c:v>
                </c:pt>
                <c:pt idx="169">
                  <c:v>32.191994596872959</c:v>
                </c:pt>
                <c:pt idx="170">
                  <c:v>27.653220026322387</c:v>
                </c:pt>
                <c:pt idx="171">
                  <c:v>18.114445455771673</c:v>
                </c:pt>
                <c:pt idx="172">
                  <c:v>11.936957274884819</c:v>
                </c:pt>
                <c:pt idx="173">
                  <c:v>12.860273087537699</c:v>
                </c:pt>
                <c:pt idx="174">
                  <c:v>18.783588900190722</c:v>
                </c:pt>
                <c:pt idx="175">
                  <c:v>16.807708706383053</c:v>
                </c:pt>
                <c:pt idx="176">
                  <c:v>16.932632506115937</c:v>
                </c:pt>
                <c:pt idx="177">
                  <c:v>19.158360299387454</c:v>
                </c:pt>
                <c:pt idx="178">
                  <c:v>21.384088092660249</c:v>
                </c:pt>
                <c:pt idx="179">
                  <c:v>17.811423873011307</c:v>
                </c:pt>
                <c:pt idx="180">
                  <c:v>14.238759653363644</c:v>
                </c:pt>
                <c:pt idx="181">
                  <c:v>14.867703420794527</c:v>
                </c:pt>
                <c:pt idx="182">
                  <c:v>15.49664718822541</c:v>
                </c:pt>
                <c:pt idx="183">
                  <c:v>13.226394949196703</c:v>
                </c:pt>
                <c:pt idx="184">
                  <c:v>20.157750697247323</c:v>
                </c:pt>
                <c:pt idx="185">
                  <c:v>22.089106445297162</c:v>
                </c:pt>
                <c:pt idx="186">
                  <c:v>23.222070180427323</c:v>
                </c:pt>
                <c:pt idx="187">
                  <c:v>21.455837909097255</c:v>
                </c:pt>
                <c:pt idx="188">
                  <c:v>19.689605637766547</c:v>
                </c:pt>
                <c:pt idx="189">
                  <c:v>22.124981353516304</c:v>
                </c:pt>
                <c:pt idx="190">
                  <c:v>16.66116106280505</c:v>
                </c:pt>
                <c:pt idx="191">
                  <c:v>10.398948759173479</c:v>
                </c:pt>
                <c:pt idx="192">
                  <c:v>4.1367364555419073</c:v>
                </c:pt>
                <c:pt idx="193">
                  <c:v>2.0761321389895215</c:v>
                </c:pt>
                <c:pt idx="194">
                  <c:v>2.1163318159776878</c:v>
                </c:pt>
                <c:pt idx="195">
                  <c:v>-3.6418605199552445</c:v>
                </c:pt>
                <c:pt idx="196">
                  <c:v>-2.2992488623481222</c:v>
                </c:pt>
                <c:pt idx="197">
                  <c:v>3.2449707823381857</c:v>
                </c:pt>
                <c:pt idx="198">
                  <c:v>-1.2108095729751511</c:v>
                </c:pt>
                <c:pt idx="199">
                  <c:v>-4.3641779476688924</c:v>
                </c:pt>
                <c:pt idx="200">
                  <c:v>-10.416742328823503</c:v>
                </c:pt>
                <c:pt idx="201">
                  <c:v>-12.267698722898928</c:v>
                </c:pt>
                <c:pt idx="202">
                  <c:v>-12.0178511234338</c:v>
                </c:pt>
                <c:pt idx="203">
                  <c:v>-7.5663955368894875</c:v>
                </c:pt>
                <c:pt idx="204">
                  <c:v>-3.9133319632654917</c:v>
                </c:pt>
                <c:pt idx="205">
                  <c:v>3.9413395974376897</c:v>
                </c:pt>
                <c:pt idx="206">
                  <c:v>-1.1031848483190032</c:v>
                </c:pt>
                <c:pt idx="207">
                  <c:v>-9.8452973134568822</c:v>
                </c:pt>
                <c:pt idx="208">
                  <c:v>-6.4866057850545644</c:v>
                </c:pt>
                <c:pt idx="209">
                  <c:v>-16.825502276033717</c:v>
                </c:pt>
                <c:pt idx="210">
                  <c:v>-25.063594773472317</c:v>
                </c:pt>
                <c:pt idx="211">
                  <c:v>-29.100079283832372</c:v>
                </c:pt>
                <c:pt idx="212">
                  <c:v>-26.834151813572049</c:v>
                </c:pt>
              </c:numCache>
            </c:numRef>
          </c:yVal>
        </c:ser>
        <c:ser>
          <c:idx val="1"/>
          <c:order val="2"/>
          <c:tx>
            <c:strRef>
              <c:f>'DT94-8'!$W$17</c:f>
              <c:strCache>
                <c:ptCount val="1"/>
                <c:pt idx="0">
                  <c:v>DT94-8 (2)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'DT94-8'!$W$18:$W$274</c:f>
              <c:numCache>
                <c:formatCode>General</c:formatCode>
                <c:ptCount val="257"/>
                <c:pt idx="132">
                  <c:v>167.63421171630324</c:v>
                </c:pt>
                <c:pt idx="133">
                  <c:v>163.01201045363905</c:v>
                </c:pt>
                <c:pt idx="134">
                  <c:v>153.80996998968254</c:v>
                </c:pt>
                <c:pt idx="135">
                  <c:v>145.23817072378799</c:v>
                </c:pt>
                <c:pt idx="136">
                  <c:v>142.29661265595556</c:v>
                </c:pt>
                <c:pt idx="137">
                  <c:v>149.98529578618491</c:v>
                </c:pt>
                <c:pt idx="138">
                  <c:v>158.30422011447607</c:v>
                </c:pt>
                <c:pt idx="139">
                  <c:v>152.04330524147542</c:v>
                </c:pt>
                <c:pt idx="140">
                  <c:v>146.62271196589043</c:v>
                </c:pt>
                <c:pt idx="141">
                  <c:v>142.04244028772158</c:v>
                </c:pt>
                <c:pt idx="142">
                  <c:v>137.88232940826052</c:v>
                </c:pt>
                <c:pt idx="143">
                  <c:v>129.35245972686147</c:v>
                </c:pt>
                <c:pt idx="144">
                  <c:v>126.8729920422322</c:v>
                </c:pt>
                <c:pt idx="145">
                  <c:v>130.02376555566502</c:v>
                </c:pt>
                <c:pt idx="146">
                  <c:v>128.80478026715969</c:v>
                </c:pt>
                <c:pt idx="147">
                  <c:v>128.63619697542401</c:v>
                </c:pt>
                <c:pt idx="148">
                  <c:v>129.09785488175061</c:v>
                </c:pt>
                <c:pt idx="149">
                  <c:v>125.18975398613904</c:v>
                </c:pt>
                <c:pt idx="150">
                  <c:v>117.54213548665095</c:v>
                </c:pt>
                <c:pt idx="151">
                  <c:v>115.52475818522531</c:v>
                </c:pt>
                <c:pt idx="152">
                  <c:v>104.55778288056933</c:v>
                </c:pt>
                <c:pt idx="153">
                  <c:v>99.43112917332914</c:v>
                </c:pt>
                <c:pt idx="154">
                  <c:v>100.35487746285874</c:v>
                </c:pt>
                <c:pt idx="155">
                  <c:v>102.11894734980461</c:v>
                </c:pt>
                <c:pt idx="156">
                  <c:v>99.933419233520311</c:v>
                </c:pt>
                <c:pt idx="157">
                  <c:v>88.798293114005673</c:v>
                </c:pt>
                <c:pt idx="158">
                  <c:v>83.923649390615111</c:v>
                </c:pt>
                <c:pt idx="159">
                  <c:v>89.679246865286188</c:v>
                </c:pt>
                <c:pt idx="160">
                  <c:v>92.115487534789366</c:v>
                </c:pt>
                <c:pt idx="161">
                  <c:v>90.181969402354383</c:v>
                </c:pt>
                <c:pt idx="162">
                  <c:v>89.929094464750989</c:v>
                </c:pt>
                <c:pt idx="163">
                  <c:v>90.516541124563901</c:v>
                </c:pt>
                <c:pt idx="164">
                  <c:v>87.574550579854275</c:v>
                </c:pt>
                <c:pt idx="165">
                  <c:v>85.682962031914627</c:v>
                </c:pt>
                <c:pt idx="166">
                  <c:v>85.472016678806881</c:v>
                </c:pt>
                <c:pt idx="167">
                  <c:v>86.3114733224688</c:v>
                </c:pt>
                <c:pt idx="168">
                  <c:v>83.621492761608806</c:v>
                </c:pt>
                <c:pt idx="169">
                  <c:v>82.191994596872775</c:v>
                </c:pt>
                <c:pt idx="170">
                  <c:v>77.653220026322202</c:v>
                </c:pt>
                <c:pt idx="171">
                  <c:v>73.11444545577163</c:v>
                </c:pt>
                <c:pt idx="172">
                  <c:v>71.936957274884918</c:v>
                </c:pt>
                <c:pt idx="173">
                  <c:v>67.860273087537664</c:v>
                </c:pt>
                <c:pt idx="174">
                  <c:v>68.783588900190551</c:v>
                </c:pt>
                <c:pt idx="175">
                  <c:v>66.807708706383195</c:v>
                </c:pt>
                <c:pt idx="176">
                  <c:v>66.932632506116079</c:v>
                </c:pt>
                <c:pt idx="177">
                  <c:v>64.158360299387454</c:v>
                </c:pt>
                <c:pt idx="178">
                  <c:v>61.384088092660107</c:v>
                </c:pt>
                <c:pt idx="179">
                  <c:v>62.811423873011307</c:v>
                </c:pt>
                <c:pt idx="180">
                  <c:v>59.238759653363644</c:v>
                </c:pt>
                <c:pt idx="181">
                  <c:v>59.867703420794527</c:v>
                </c:pt>
                <c:pt idx="182">
                  <c:v>60.49664718822541</c:v>
                </c:pt>
                <c:pt idx="183">
                  <c:v>63.226394949196845</c:v>
                </c:pt>
                <c:pt idx="184">
                  <c:v>65.157750697247323</c:v>
                </c:pt>
                <c:pt idx="185">
                  <c:v>62.08910644529702</c:v>
                </c:pt>
                <c:pt idx="186">
                  <c:v>63.222070180427181</c:v>
                </c:pt>
                <c:pt idx="187">
                  <c:v>61.455837909097113</c:v>
                </c:pt>
                <c:pt idx="188">
                  <c:v>59.689605637766405</c:v>
                </c:pt>
                <c:pt idx="189">
                  <c:v>62.124981353516162</c:v>
                </c:pt>
                <c:pt idx="190">
                  <c:v>56.661161062805547</c:v>
                </c:pt>
                <c:pt idx="191">
                  <c:v>45.398948759173194</c:v>
                </c:pt>
                <c:pt idx="192">
                  <c:v>44.136736455541765</c:v>
                </c:pt>
                <c:pt idx="193">
                  <c:v>47.076132138989522</c:v>
                </c:pt>
                <c:pt idx="194">
                  <c:v>42.116331815977546</c:v>
                </c:pt>
                <c:pt idx="195">
                  <c:v>41.358139480044755</c:v>
                </c:pt>
                <c:pt idx="196">
                  <c:v>42.700751137651878</c:v>
                </c:pt>
                <c:pt idx="197">
                  <c:v>48.244970782338186</c:v>
                </c:pt>
                <c:pt idx="198">
                  <c:v>48.789190427024991</c:v>
                </c:pt>
                <c:pt idx="199">
                  <c:v>50.635822052330752</c:v>
                </c:pt>
                <c:pt idx="200">
                  <c:v>39.583257671176</c:v>
                </c:pt>
                <c:pt idx="201">
                  <c:v>37.732301277101215</c:v>
                </c:pt>
                <c:pt idx="202">
                  <c:v>37.982148876566342</c:v>
                </c:pt>
                <c:pt idx="203">
                  <c:v>32.43360446311037</c:v>
                </c:pt>
                <c:pt idx="204">
                  <c:v>31.086668036734224</c:v>
                </c:pt>
                <c:pt idx="205">
                  <c:v>23.941339597436979</c:v>
                </c:pt>
                <c:pt idx="206">
                  <c:v>18.896815151680926</c:v>
                </c:pt>
                <c:pt idx="207">
                  <c:v>20.154702686542691</c:v>
                </c:pt>
                <c:pt idx="208">
                  <c:v>23.513394214945009</c:v>
                </c:pt>
                <c:pt idx="209">
                  <c:v>23.17449772396742</c:v>
                </c:pt>
                <c:pt idx="210">
                  <c:v>14.93640522652754</c:v>
                </c:pt>
                <c:pt idx="211">
                  <c:v>30.899920716168054</c:v>
                </c:pt>
                <c:pt idx="212">
                  <c:v>33.165848186427098</c:v>
                </c:pt>
              </c:numCache>
            </c:numRef>
          </c:yVal>
        </c:ser>
        <c:ser>
          <c:idx val="3"/>
          <c:order val="3"/>
          <c:tx>
            <c:strRef>
              <c:f>'DT94-8'!$X$17</c:f>
              <c:strCache>
                <c:ptCount val="1"/>
                <c:pt idx="0">
                  <c:v>DT94-8 (3)</c:v>
                </c:pt>
              </c:strCache>
            </c:strRef>
          </c:tx>
          <c:spPr>
            <a:ln w="6350">
              <a:solidFill>
                <a:srgbClr val="FF9900"/>
              </a:solidFill>
            </a:ln>
          </c:spPr>
          <c:marker>
            <c:symbol val="none"/>
          </c:marker>
          <c:xVal>
            <c:numRef>
              <c:f>'DT94-8'!$B$18:$B$274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'DT94-8'!$X$18:$X$274</c:f>
              <c:numCache>
                <c:formatCode>General</c:formatCode>
                <c:ptCount val="257"/>
                <c:pt idx="132">
                  <c:v>177.63421171630338</c:v>
                </c:pt>
                <c:pt idx="133">
                  <c:v>173.01201045363902</c:v>
                </c:pt>
                <c:pt idx="134">
                  <c:v>163.80996998968249</c:v>
                </c:pt>
                <c:pt idx="135">
                  <c:v>160.2381707237881</c:v>
                </c:pt>
                <c:pt idx="136">
                  <c:v>157.2966126559555</c:v>
                </c:pt>
                <c:pt idx="137">
                  <c:v>154.98529578618474</c:v>
                </c:pt>
                <c:pt idx="138">
                  <c:v>158.30422011447607</c:v>
                </c:pt>
                <c:pt idx="139">
                  <c:v>162.04330524147539</c:v>
                </c:pt>
                <c:pt idx="140">
                  <c:v>156.6227119658904</c:v>
                </c:pt>
                <c:pt idx="141">
                  <c:v>152.04244028772155</c:v>
                </c:pt>
                <c:pt idx="142">
                  <c:v>152.88232940826063</c:v>
                </c:pt>
                <c:pt idx="143">
                  <c:v>149.35245972686141</c:v>
                </c:pt>
                <c:pt idx="144">
                  <c:v>146.87299204223211</c:v>
                </c:pt>
                <c:pt idx="145">
                  <c:v>145.02376555566514</c:v>
                </c:pt>
                <c:pt idx="146">
                  <c:v>143.80478026715949</c:v>
                </c:pt>
                <c:pt idx="147">
                  <c:v>143.63619697542413</c:v>
                </c:pt>
                <c:pt idx="148">
                  <c:v>139.09785488175058</c:v>
                </c:pt>
                <c:pt idx="149">
                  <c:v>135.18975398613867</c:v>
                </c:pt>
                <c:pt idx="150">
                  <c:v>132.54213548665106</c:v>
                </c:pt>
                <c:pt idx="151">
                  <c:v>130.5247581852251</c:v>
                </c:pt>
                <c:pt idx="152">
                  <c:v>129.55778288056939</c:v>
                </c:pt>
                <c:pt idx="153">
                  <c:v>124.43112917332923</c:v>
                </c:pt>
                <c:pt idx="154">
                  <c:v>115.35487746285916</c:v>
                </c:pt>
                <c:pt idx="155">
                  <c:v>107.11894734980476</c:v>
                </c:pt>
                <c:pt idx="156">
                  <c:v>104.93341923352013</c:v>
                </c:pt>
                <c:pt idx="157">
                  <c:v>103.79829311400577</c:v>
                </c:pt>
                <c:pt idx="158">
                  <c:v>103.92364939061505</c:v>
                </c:pt>
                <c:pt idx="159">
                  <c:v>104.67924686528598</c:v>
                </c:pt>
                <c:pt idx="160">
                  <c:v>102.11548753478965</c:v>
                </c:pt>
                <c:pt idx="161">
                  <c:v>95.181969402354525</c:v>
                </c:pt>
                <c:pt idx="162">
                  <c:v>94.929094464751131</c:v>
                </c:pt>
                <c:pt idx="163">
                  <c:v>90.516541124563901</c:v>
                </c:pt>
                <c:pt idx="164">
                  <c:v>82.574550579854133</c:v>
                </c:pt>
                <c:pt idx="165">
                  <c:v>75.682962031914656</c:v>
                </c:pt>
                <c:pt idx="166">
                  <c:v>70.472016678806781</c:v>
                </c:pt>
                <c:pt idx="167">
                  <c:v>66.311473322468856</c:v>
                </c:pt>
                <c:pt idx="168">
                  <c:v>68.621492761608707</c:v>
                </c:pt>
                <c:pt idx="169">
                  <c:v>62.191994596872853</c:v>
                </c:pt>
                <c:pt idx="170">
                  <c:v>57.65322002632228</c:v>
                </c:pt>
                <c:pt idx="171">
                  <c:v>53.114445455771389</c:v>
                </c:pt>
                <c:pt idx="172">
                  <c:v>51.936957274884996</c:v>
                </c:pt>
                <c:pt idx="173">
                  <c:v>52.860273087537557</c:v>
                </c:pt>
                <c:pt idx="174">
                  <c:v>48.783588900190615</c:v>
                </c:pt>
                <c:pt idx="175">
                  <c:v>41.807708706383124</c:v>
                </c:pt>
                <c:pt idx="176">
                  <c:v>41.932632506115368</c:v>
                </c:pt>
                <c:pt idx="177">
                  <c:v>44.158360299388164</c:v>
                </c:pt>
                <c:pt idx="178">
                  <c:v>41.384088092659539</c:v>
                </c:pt>
                <c:pt idx="179">
                  <c:v>42.811423873012018</c:v>
                </c:pt>
                <c:pt idx="180">
                  <c:v>39.238759653363076</c:v>
                </c:pt>
                <c:pt idx="181">
                  <c:v>34.867703420794456</c:v>
                </c:pt>
                <c:pt idx="182">
                  <c:v>35.496647188225339</c:v>
                </c:pt>
                <c:pt idx="183">
                  <c:v>33.226394949196632</c:v>
                </c:pt>
                <c:pt idx="184">
                  <c:v>30.157750697246968</c:v>
                </c:pt>
                <c:pt idx="185">
                  <c:v>32.089106445297446</c:v>
                </c:pt>
                <c:pt idx="186">
                  <c:v>33.222070180426968</c:v>
                </c:pt>
                <c:pt idx="187">
                  <c:v>31.4558379090969</c:v>
                </c:pt>
                <c:pt idx="188">
                  <c:v>29.689605637766192</c:v>
                </c:pt>
                <c:pt idx="189">
                  <c:v>32.124981353515949</c:v>
                </c:pt>
                <c:pt idx="190">
                  <c:v>26.661161062805334</c:v>
                </c:pt>
                <c:pt idx="191">
                  <c:v>25.398948759173265</c:v>
                </c:pt>
                <c:pt idx="192">
                  <c:v>19.136736455541694</c:v>
                </c:pt>
                <c:pt idx="193">
                  <c:v>22.07613213898945</c:v>
                </c:pt>
                <c:pt idx="194">
                  <c:v>22.116331815977617</c:v>
                </c:pt>
                <c:pt idx="195">
                  <c:v>21.358139480044827</c:v>
                </c:pt>
                <c:pt idx="196">
                  <c:v>22.700751137651949</c:v>
                </c:pt>
                <c:pt idx="197">
                  <c:v>23.244970782338115</c:v>
                </c:pt>
                <c:pt idx="198">
                  <c:v>13.789190427025275</c:v>
                </c:pt>
                <c:pt idx="199">
                  <c:v>15.635822052331037</c:v>
                </c:pt>
                <c:pt idx="200">
                  <c:v>9.5832576711764261</c:v>
                </c:pt>
                <c:pt idx="201">
                  <c:v>7.7323012771010013</c:v>
                </c:pt>
                <c:pt idx="202">
                  <c:v>7.9821488765661286</c:v>
                </c:pt>
                <c:pt idx="203">
                  <c:v>2.4336044631101572</c:v>
                </c:pt>
                <c:pt idx="204">
                  <c:v>1.0866680367346504</c:v>
                </c:pt>
                <c:pt idx="205">
                  <c:v>13.941339597436695</c:v>
                </c:pt>
                <c:pt idx="206">
                  <c:v>8.8968151516806415</c:v>
                </c:pt>
                <c:pt idx="207">
                  <c:v>0.15470268654340202</c:v>
                </c:pt>
                <c:pt idx="208">
                  <c:v>-6.4866057850545644</c:v>
                </c:pt>
                <c:pt idx="209">
                  <c:v>-16.825502276033717</c:v>
                </c:pt>
                <c:pt idx="210">
                  <c:v>-25.063594773472317</c:v>
                </c:pt>
                <c:pt idx="211">
                  <c:v>-19.100079283832088</c:v>
                </c:pt>
                <c:pt idx="212">
                  <c:v>-16.834151813571765</c:v>
                </c:pt>
              </c:numCache>
            </c:numRef>
          </c:yVal>
        </c:ser>
        <c:axId val="83586048"/>
        <c:axId val="83596416"/>
      </c:scatterChart>
      <c:valAx>
        <c:axId val="83586048"/>
        <c:scaling>
          <c:logBase val="10"/>
          <c:orientation val="minMax"/>
          <c:max val="1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0647064686534431"/>
              <c:y val="0.86533136482939632"/>
            </c:manualLayout>
          </c:layout>
        </c:title>
        <c:numFmt formatCode="General" sourceLinked="1"/>
        <c:tickLblPos val="nextTo"/>
        <c:crossAx val="83596416"/>
        <c:crossesAt val="-360"/>
        <c:crossBetween val="midCat"/>
      </c:valAx>
      <c:valAx>
        <c:axId val="83596416"/>
        <c:scaling>
          <c:orientation val="minMax"/>
          <c:max val="180"/>
          <c:min val="-18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[grd]</a:t>
                </a:r>
              </a:p>
            </c:rich>
          </c:tx>
        </c:title>
        <c:numFmt formatCode="General" sourceLinked="1"/>
        <c:tickLblPos val="nextTo"/>
        <c:crossAx val="83586048"/>
        <c:crosses val="autoZero"/>
        <c:crossBetween val="midCat"/>
        <c:majorUnit val="30"/>
      </c:valAx>
    </c:plotArea>
    <c:legend>
      <c:legendPos val="b"/>
      <c:layout>
        <c:manualLayout>
          <c:xMode val="edge"/>
          <c:yMode val="edge"/>
          <c:x val="9.434466261337586E-3"/>
          <c:y val="0.91821376494604201"/>
          <c:w val="0.97437974683544315"/>
          <c:h val="7.7156605424322094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5057643111066957"/>
          <c:y val="5.1400554097404488E-2"/>
          <c:w val="0.78640247184291057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'W200S-4'!$I$17</c:f>
              <c:strCache>
                <c:ptCount val="1"/>
                <c:pt idx="0">
                  <c:v>W200S-4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'W200S-4'!$J$18:$J$274</c:f>
              <c:numCache>
                <c:formatCode>General</c:formatCode>
                <c:ptCount val="257"/>
                <c:pt idx="0">
                  <c:v>-162</c:v>
                </c:pt>
                <c:pt idx="1">
                  <c:v>-163.19999999999999</c:v>
                </c:pt>
                <c:pt idx="2">
                  <c:v>-164.5</c:v>
                </c:pt>
                <c:pt idx="3">
                  <c:v>-165.8</c:v>
                </c:pt>
                <c:pt idx="4">
                  <c:v>-167.2</c:v>
                </c:pt>
                <c:pt idx="5">
                  <c:v>-168.7</c:v>
                </c:pt>
                <c:pt idx="6">
                  <c:v>-170.2</c:v>
                </c:pt>
                <c:pt idx="7">
                  <c:v>-171.7</c:v>
                </c:pt>
                <c:pt idx="8">
                  <c:v>-173.4</c:v>
                </c:pt>
                <c:pt idx="9">
                  <c:v>-175.1</c:v>
                </c:pt>
                <c:pt idx="10">
                  <c:v>-176.9</c:v>
                </c:pt>
                <c:pt idx="11">
                  <c:v>-178.8</c:v>
                </c:pt>
                <c:pt idx="12">
                  <c:v>179.18</c:v>
                </c:pt>
                <c:pt idx="13">
                  <c:v>177.05</c:v>
                </c:pt>
                <c:pt idx="14">
                  <c:v>174.8</c:v>
                </c:pt>
                <c:pt idx="15">
                  <c:v>172.42</c:v>
                </c:pt>
                <c:pt idx="16">
                  <c:v>169.9</c:v>
                </c:pt>
                <c:pt idx="17">
                  <c:v>167.22</c:v>
                </c:pt>
                <c:pt idx="18">
                  <c:v>164.39</c:v>
                </c:pt>
                <c:pt idx="19">
                  <c:v>161.4</c:v>
                </c:pt>
                <c:pt idx="20">
                  <c:v>158.24</c:v>
                </c:pt>
                <c:pt idx="21">
                  <c:v>154.91</c:v>
                </c:pt>
                <c:pt idx="22">
                  <c:v>151.41999999999999</c:v>
                </c:pt>
                <c:pt idx="23">
                  <c:v>147.77000000000001</c:v>
                </c:pt>
                <c:pt idx="24">
                  <c:v>143.97</c:v>
                </c:pt>
                <c:pt idx="25">
                  <c:v>140.04</c:v>
                </c:pt>
                <c:pt idx="26">
                  <c:v>136.01</c:v>
                </c:pt>
                <c:pt idx="27">
                  <c:v>131.9</c:v>
                </c:pt>
                <c:pt idx="28">
                  <c:v>127.74</c:v>
                </c:pt>
                <c:pt idx="29">
                  <c:v>123.57</c:v>
                </c:pt>
                <c:pt idx="30">
                  <c:v>119.41</c:v>
                </c:pt>
                <c:pt idx="31">
                  <c:v>115.3</c:v>
                </c:pt>
                <c:pt idx="32">
                  <c:v>111.28</c:v>
                </c:pt>
                <c:pt idx="33">
                  <c:v>107.53</c:v>
                </c:pt>
                <c:pt idx="34">
                  <c:v>103.89</c:v>
                </c:pt>
                <c:pt idx="35">
                  <c:v>100.36</c:v>
                </c:pt>
                <c:pt idx="36">
                  <c:v>96.944999999999993</c:v>
                </c:pt>
                <c:pt idx="37">
                  <c:v>93.655000000000001</c:v>
                </c:pt>
                <c:pt idx="38">
                  <c:v>90.456999999999994</c:v>
                </c:pt>
                <c:pt idx="39">
                  <c:v>87.385000000000005</c:v>
                </c:pt>
                <c:pt idx="40">
                  <c:v>84.486999999999995</c:v>
                </c:pt>
                <c:pt idx="41">
                  <c:v>81.692999999999998</c:v>
                </c:pt>
                <c:pt idx="42">
                  <c:v>78.995000000000005</c:v>
                </c:pt>
                <c:pt idx="43">
                  <c:v>76.426000000000002</c:v>
                </c:pt>
                <c:pt idx="44">
                  <c:v>73.915000000000006</c:v>
                </c:pt>
                <c:pt idx="45">
                  <c:v>71.474999999999994</c:v>
                </c:pt>
                <c:pt idx="46">
                  <c:v>69.167000000000002</c:v>
                </c:pt>
                <c:pt idx="47">
                  <c:v>66.900000000000006</c:v>
                </c:pt>
                <c:pt idx="48">
                  <c:v>64.563999999999993</c:v>
                </c:pt>
                <c:pt idx="49">
                  <c:v>62.216999999999999</c:v>
                </c:pt>
                <c:pt idx="50">
                  <c:v>59.921999999999997</c:v>
                </c:pt>
                <c:pt idx="51">
                  <c:v>57.649000000000001</c:v>
                </c:pt>
                <c:pt idx="52">
                  <c:v>55.418999999999997</c:v>
                </c:pt>
                <c:pt idx="53">
                  <c:v>53.302999999999997</c:v>
                </c:pt>
                <c:pt idx="54">
                  <c:v>51.328000000000003</c:v>
                </c:pt>
                <c:pt idx="55">
                  <c:v>49.459000000000003</c:v>
                </c:pt>
                <c:pt idx="56">
                  <c:v>47.652000000000001</c:v>
                </c:pt>
                <c:pt idx="57">
                  <c:v>45.845999999999997</c:v>
                </c:pt>
                <c:pt idx="58">
                  <c:v>43.991999999999997</c:v>
                </c:pt>
                <c:pt idx="59">
                  <c:v>42.156999999999996</c:v>
                </c:pt>
                <c:pt idx="60">
                  <c:v>40.362000000000002</c:v>
                </c:pt>
                <c:pt idx="61">
                  <c:v>38.508000000000003</c:v>
                </c:pt>
                <c:pt idx="62">
                  <c:v>36.551000000000002</c:v>
                </c:pt>
                <c:pt idx="63">
                  <c:v>34.387999999999998</c:v>
                </c:pt>
                <c:pt idx="64">
                  <c:v>32.128</c:v>
                </c:pt>
                <c:pt idx="65">
                  <c:v>29.960999999999999</c:v>
                </c:pt>
                <c:pt idx="66">
                  <c:v>27.716000000000001</c:v>
                </c:pt>
                <c:pt idx="67">
                  <c:v>25.138000000000002</c:v>
                </c:pt>
                <c:pt idx="68">
                  <c:v>22.326000000000001</c:v>
                </c:pt>
                <c:pt idx="69">
                  <c:v>19.456</c:v>
                </c:pt>
                <c:pt idx="70">
                  <c:v>16.510000000000002</c:v>
                </c:pt>
                <c:pt idx="71">
                  <c:v>13.773999999999999</c:v>
                </c:pt>
                <c:pt idx="72">
                  <c:v>11.446999999999999</c:v>
                </c:pt>
                <c:pt idx="73">
                  <c:v>9.9954000000000001</c:v>
                </c:pt>
                <c:pt idx="74">
                  <c:v>9.5395000000000003</c:v>
                </c:pt>
                <c:pt idx="75">
                  <c:v>9.1321999999999992</c:v>
                </c:pt>
                <c:pt idx="76">
                  <c:v>8.7781000000000002</c:v>
                </c:pt>
                <c:pt idx="77">
                  <c:v>8.4045000000000005</c:v>
                </c:pt>
                <c:pt idx="78">
                  <c:v>7.9692999999999996</c:v>
                </c:pt>
                <c:pt idx="79">
                  <c:v>7.6155999999999997</c:v>
                </c:pt>
                <c:pt idx="80">
                  <c:v>7.1227</c:v>
                </c:pt>
                <c:pt idx="81">
                  <c:v>6.2491000000000003</c:v>
                </c:pt>
                <c:pt idx="82">
                  <c:v>5.2862999999999998</c:v>
                </c:pt>
                <c:pt idx="83">
                  <c:v>4.4531999999999998</c:v>
                </c:pt>
                <c:pt idx="84">
                  <c:v>3.7503000000000002</c:v>
                </c:pt>
                <c:pt idx="85">
                  <c:v>3.3397000000000001</c:v>
                </c:pt>
                <c:pt idx="86">
                  <c:v>3.2086000000000001</c:v>
                </c:pt>
                <c:pt idx="87">
                  <c:v>2.8340999999999998</c:v>
                </c:pt>
                <c:pt idx="88">
                  <c:v>1.7997000000000001</c:v>
                </c:pt>
                <c:pt idx="89">
                  <c:v>0.2742</c:v>
                </c:pt>
                <c:pt idx="90">
                  <c:v>-1.29</c:v>
                </c:pt>
                <c:pt idx="91">
                  <c:v>-2.782</c:v>
                </c:pt>
                <c:pt idx="92">
                  <c:v>-4.548</c:v>
                </c:pt>
                <c:pt idx="93">
                  <c:v>-6.4850000000000003</c:v>
                </c:pt>
                <c:pt idx="94">
                  <c:v>-7.7889999999999997</c:v>
                </c:pt>
                <c:pt idx="95">
                  <c:v>-8.0419999999999998</c:v>
                </c:pt>
                <c:pt idx="96">
                  <c:v>-7.63</c:v>
                </c:pt>
                <c:pt idx="97">
                  <c:v>-7.194</c:v>
                </c:pt>
                <c:pt idx="98">
                  <c:v>-7.024</c:v>
                </c:pt>
                <c:pt idx="99">
                  <c:v>-7.0629999999999997</c:v>
                </c:pt>
                <c:pt idx="100">
                  <c:v>-7.5759999999999996</c:v>
                </c:pt>
                <c:pt idx="101">
                  <c:v>-8.6519999999999992</c:v>
                </c:pt>
                <c:pt idx="102">
                  <c:v>-9.8469999999999995</c:v>
                </c:pt>
                <c:pt idx="103">
                  <c:v>-11.43</c:v>
                </c:pt>
                <c:pt idx="104">
                  <c:v>-13.7</c:v>
                </c:pt>
                <c:pt idx="105">
                  <c:v>-16.899999999999999</c:v>
                </c:pt>
                <c:pt idx="106">
                  <c:v>-27.59</c:v>
                </c:pt>
                <c:pt idx="107">
                  <c:v>-43.23</c:v>
                </c:pt>
                <c:pt idx="108">
                  <c:v>-45.93</c:v>
                </c:pt>
                <c:pt idx="109">
                  <c:v>-38.64</c:v>
                </c:pt>
                <c:pt idx="110">
                  <c:v>-32.74</c:v>
                </c:pt>
                <c:pt idx="111">
                  <c:v>-30.72</c:v>
                </c:pt>
                <c:pt idx="112">
                  <c:v>-31.96</c:v>
                </c:pt>
                <c:pt idx="113">
                  <c:v>-33.92</c:v>
                </c:pt>
                <c:pt idx="114">
                  <c:v>-35.65</c:v>
                </c:pt>
                <c:pt idx="115">
                  <c:v>-37.32</c:v>
                </c:pt>
                <c:pt idx="116">
                  <c:v>-38.39</c:v>
                </c:pt>
                <c:pt idx="117">
                  <c:v>-39.74</c:v>
                </c:pt>
                <c:pt idx="118">
                  <c:v>-41.09</c:v>
                </c:pt>
                <c:pt idx="119">
                  <c:v>-41.31</c:v>
                </c:pt>
                <c:pt idx="120">
                  <c:v>-41.39</c:v>
                </c:pt>
                <c:pt idx="121">
                  <c:v>-43.25</c:v>
                </c:pt>
                <c:pt idx="122">
                  <c:v>-46.75</c:v>
                </c:pt>
                <c:pt idx="123">
                  <c:v>-50.76</c:v>
                </c:pt>
                <c:pt idx="124">
                  <c:v>-54.61</c:v>
                </c:pt>
                <c:pt idx="125">
                  <c:v>-58.91</c:v>
                </c:pt>
                <c:pt idx="126">
                  <c:v>-63.32</c:v>
                </c:pt>
                <c:pt idx="127">
                  <c:v>-66.319999999999993</c:v>
                </c:pt>
                <c:pt idx="128">
                  <c:v>-66.94</c:v>
                </c:pt>
                <c:pt idx="129">
                  <c:v>-67.81</c:v>
                </c:pt>
                <c:pt idx="130">
                  <c:v>-70.02</c:v>
                </c:pt>
                <c:pt idx="131">
                  <c:v>-72.31</c:v>
                </c:pt>
                <c:pt idx="132">
                  <c:v>-74.73</c:v>
                </c:pt>
                <c:pt idx="133">
                  <c:v>-76.459999999999994</c:v>
                </c:pt>
                <c:pt idx="134">
                  <c:v>-77.58</c:v>
                </c:pt>
                <c:pt idx="135">
                  <c:v>-79.069999999999993</c:v>
                </c:pt>
                <c:pt idx="136">
                  <c:v>-80.33</c:v>
                </c:pt>
                <c:pt idx="137">
                  <c:v>-80.28</c:v>
                </c:pt>
                <c:pt idx="138">
                  <c:v>-79.27</c:v>
                </c:pt>
                <c:pt idx="139">
                  <c:v>-79.239999999999995</c:v>
                </c:pt>
                <c:pt idx="140">
                  <c:v>-82.53</c:v>
                </c:pt>
                <c:pt idx="141">
                  <c:v>-86.24</c:v>
                </c:pt>
                <c:pt idx="142">
                  <c:v>-87.94</c:v>
                </c:pt>
                <c:pt idx="143">
                  <c:v>-89.81</c:v>
                </c:pt>
                <c:pt idx="144">
                  <c:v>-96.27</c:v>
                </c:pt>
                <c:pt idx="145">
                  <c:v>-103.9</c:v>
                </c:pt>
                <c:pt idx="146">
                  <c:v>-108.5</c:v>
                </c:pt>
                <c:pt idx="147">
                  <c:v>-108.5</c:v>
                </c:pt>
                <c:pt idx="148">
                  <c:v>-103</c:v>
                </c:pt>
                <c:pt idx="149">
                  <c:v>-98.86</c:v>
                </c:pt>
                <c:pt idx="150">
                  <c:v>-97.34</c:v>
                </c:pt>
                <c:pt idx="151">
                  <c:v>-98.87</c:v>
                </c:pt>
                <c:pt idx="152">
                  <c:v>-103.2</c:v>
                </c:pt>
                <c:pt idx="153">
                  <c:v>-106.9</c:v>
                </c:pt>
                <c:pt idx="154">
                  <c:v>-110.8</c:v>
                </c:pt>
                <c:pt idx="155">
                  <c:v>-119.2</c:v>
                </c:pt>
                <c:pt idx="156">
                  <c:v>-132.6</c:v>
                </c:pt>
                <c:pt idx="157">
                  <c:v>-145.5</c:v>
                </c:pt>
                <c:pt idx="158">
                  <c:v>-151.4</c:v>
                </c:pt>
                <c:pt idx="159">
                  <c:v>-148.30000000000001</c:v>
                </c:pt>
                <c:pt idx="160">
                  <c:v>-140.1</c:v>
                </c:pt>
                <c:pt idx="161">
                  <c:v>-130.80000000000001</c:v>
                </c:pt>
                <c:pt idx="162">
                  <c:v>-122.7</c:v>
                </c:pt>
                <c:pt idx="163">
                  <c:v>-116.8</c:v>
                </c:pt>
                <c:pt idx="164">
                  <c:v>-114.3</c:v>
                </c:pt>
                <c:pt idx="165">
                  <c:v>-115.9</c:v>
                </c:pt>
                <c:pt idx="166">
                  <c:v>-119.3</c:v>
                </c:pt>
                <c:pt idx="167">
                  <c:v>-121.6</c:v>
                </c:pt>
                <c:pt idx="168">
                  <c:v>-122.2</c:v>
                </c:pt>
                <c:pt idx="169">
                  <c:v>-123.3</c:v>
                </c:pt>
                <c:pt idx="170">
                  <c:v>-125.8</c:v>
                </c:pt>
                <c:pt idx="171">
                  <c:v>-129.4</c:v>
                </c:pt>
                <c:pt idx="172">
                  <c:v>-134.4</c:v>
                </c:pt>
                <c:pt idx="173">
                  <c:v>-139.69999999999999</c:v>
                </c:pt>
                <c:pt idx="174">
                  <c:v>-143.30000000000001</c:v>
                </c:pt>
                <c:pt idx="175">
                  <c:v>-146.4</c:v>
                </c:pt>
                <c:pt idx="176">
                  <c:v>-154</c:v>
                </c:pt>
                <c:pt idx="177">
                  <c:v>-165.7</c:v>
                </c:pt>
                <c:pt idx="178">
                  <c:v>-172.4</c:v>
                </c:pt>
                <c:pt idx="179">
                  <c:v>-172.4</c:v>
                </c:pt>
                <c:pt idx="180">
                  <c:v>-173.5</c:v>
                </c:pt>
                <c:pt idx="181">
                  <c:v>-179.8</c:v>
                </c:pt>
                <c:pt idx="182">
                  <c:v>173.52</c:v>
                </c:pt>
                <c:pt idx="183">
                  <c:v>172.18</c:v>
                </c:pt>
                <c:pt idx="184">
                  <c:v>176.86</c:v>
                </c:pt>
                <c:pt idx="185">
                  <c:v>-178.2</c:v>
                </c:pt>
                <c:pt idx="186">
                  <c:v>-176.3</c:v>
                </c:pt>
                <c:pt idx="187">
                  <c:v>-175.2</c:v>
                </c:pt>
                <c:pt idx="188">
                  <c:v>-173.2</c:v>
                </c:pt>
                <c:pt idx="189">
                  <c:v>-172.1</c:v>
                </c:pt>
                <c:pt idx="190">
                  <c:v>-178.6</c:v>
                </c:pt>
                <c:pt idx="191">
                  <c:v>160.86000000000001</c:v>
                </c:pt>
                <c:pt idx="192">
                  <c:v>129.47</c:v>
                </c:pt>
                <c:pt idx="193">
                  <c:v>99.963999999999999</c:v>
                </c:pt>
                <c:pt idx="194">
                  <c:v>79.798000000000002</c:v>
                </c:pt>
                <c:pt idx="195">
                  <c:v>65.64</c:v>
                </c:pt>
                <c:pt idx="196">
                  <c:v>54.582000000000001</c:v>
                </c:pt>
                <c:pt idx="197">
                  <c:v>47.841000000000001</c:v>
                </c:pt>
                <c:pt idx="198">
                  <c:v>46.921999999999997</c:v>
                </c:pt>
                <c:pt idx="199">
                  <c:v>50.634</c:v>
                </c:pt>
                <c:pt idx="200">
                  <c:v>52.155999999999999</c:v>
                </c:pt>
                <c:pt idx="201">
                  <c:v>41.814999999999998</c:v>
                </c:pt>
                <c:pt idx="202">
                  <c:v>18.686</c:v>
                </c:pt>
                <c:pt idx="203">
                  <c:v>-4.0830000000000002</c:v>
                </c:pt>
                <c:pt idx="204">
                  <c:v>-14.5</c:v>
                </c:pt>
                <c:pt idx="205">
                  <c:v>-17.66</c:v>
                </c:pt>
                <c:pt idx="206">
                  <c:v>-27.53</c:v>
                </c:pt>
                <c:pt idx="207">
                  <c:v>-47.01</c:v>
                </c:pt>
                <c:pt idx="208">
                  <c:v>-64.540000000000006</c:v>
                </c:pt>
                <c:pt idx="209">
                  <c:v>-71.44</c:v>
                </c:pt>
                <c:pt idx="210">
                  <c:v>-68.05</c:v>
                </c:pt>
                <c:pt idx="211">
                  <c:v>-59.46</c:v>
                </c:pt>
                <c:pt idx="212">
                  <c:v>-53</c:v>
                </c:pt>
                <c:pt idx="213">
                  <c:v>-46.31</c:v>
                </c:pt>
                <c:pt idx="214">
                  <c:v>-34.85</c:v>
                </c:pt>
                <c:pt idx="215">
                  <c:v>-27.21</c:v>
                </c:pt>
                <c:pt idx="216">
                  <c:v>-31.66</c:v>
                </c:pt>
                <c:pt idx="217">
                  <c:v>-56.46</c:v>
                </c:pt>
                <c:pt idx="218">
                  <c:v>-102.4</c:v>
                </c:pt>
                <c:pt idx="219">
                  <c:v>-141.80000000000001</c:v>
                </c:pt>
                <c:pt idx="220">
                  <c:v>-157.1</c:v>
                </c:pt>
                <c:pt idx="221">
                  <c:v>-149.9</c:v>
                </c:pt>
                <c:pt idx="222">
                  <c:v>-150.6</c:v>
                </c:pt>
                <c:pt idx="223">
                  <c:v>-166.2</c:v>
                </c:pt>
                <c:pt idx="224">
                  <c:v>176</c:v>
                </c:pt>
                <c:pt idx="225">
                  <c:v>158.94</c:v>
                </c:pt>
                <c:pt idx="226">
                  <c:v>141.38</c:v>
                </c:pt>
                <c:pt idx="227">
                  <c:v>120.2</c:v>
                </c:pt>
                <c:pt idx="228">
                  <c:v>100.52</c:v>
                </c:pt>
                <c:pt idx="229">
                  <c:v>87.989000000000004</c:v>
                </c:pt>
                <c:pt idx="230">
                  <c:v>76.974000000000004</c:v>
                </c:pt>
                <c:pt idx="231">
                  <c:v>63.718000000000004</c:v>
                </c:pt>
                <c:pt idx="232">
                  <c:v>51.567</c:v>
                </c:pt>
                <c:pt idx="233">
                  <c:v>40.155999999999999</c:v>
                </c:pt>
                <c:pt idx="234">
                  <c:v>27.727</c:v>
                </c:pt>
                <c:pt idx="235">
                  <c:v>21.318999999999999</c:v>
                </c:pt>
                <c:pt idx="236">
                  <c:v>22.481000000000002</c:v>
                </c:pt>
                <c:pt idx="237">
                  <c:v>28.536000000000001</c:v>
                </c:pt>
                <c:pt idx="238">
                  <c:v>49.418999999999997</c:v>
                </c:pt>
                <c:pt idx="239">
                  <c:v>78.614000000000004</c:v>
                </c:pt>
                <c:pt idx="240">
                  <c:v>91.17</c:v>
                </c:pt>
                <c:pt idx="241">
                  <c:v>78.156000000000006</c:v>
                </c:pt>
                <c:pt idx="242">
                  <c:v>52.106999999999999</c:v>
                </c:pt>
                <c:pt idx="243">
                  <c:v>33.161000000000001</c:v>
                </c:pt>
                <c:pt idx="244">
                  <c:v>23.349</c:v>
                </c:pt>
                <c:pt idx="245">
                  <c:v>11.473000000000001</c:v>
                </c:pt>
                <c:pt idx="246">
                  <c:v>-8.4060000000000006</c:v>
                </c:pt>
                <c:pt idx="247">
                  <c:v>-22</c:v>
                </c:pt>
                <c:pt idx="248">
                  <c:v>-28.15</c:v>
                </c:pt>
                <c:pt idx="249">
                  <c:v>-61.46</c:v>
                </c:pt>
                <c:pt idx="250">
                  <c:v>-109.1</c:v>
                </c:pt>
                <c:pt idx="251">
                  <c:v>-141.6</c:v>
                </c:pt>
                <c:pt idx="252">
                  <c:v>-179.3</c:v>
                </c:pt>
                <c:pt idx="253">
                  <c:v>115.13</c:v>
                </c:pt>
                <c:pt idx="254">
                  <c:v>46.801000000000002</c:v>
                </c:pt>
                <c:pt idx="255">
                  <c:v>-44.04</c:v>
                </c:pt>
                <c:pt idx="256">
                  <c:v>-141.6</c:v>
                </c:pt>
              </c:numCache>
            </c:numRef>
          </c:yVal>
        </c:ser>
        <c:ser>
          <c:idx val="0"/>
          <c:order val="1"/>
          <c:tx>
            <c:strRef>
              <c:f>'W200S-4'!$V$17</c:f>
              <c:strCache>
                <c:ptCount val="1"/>
                <c:pt idx="0">
                  <c:v>W200S-4 (1)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'W200S-4'!$V$18:$V$274</c:f>
              <c:numCache>
                <c:formatCode>General</c:formatCode>
                <c:ptCount val="257"/>
                <c:pt idx="86">
                  <c:v>15.700347773586785</c:v>
                </c:pt>
                <c:pt idx="87">
                  <c:v>16.758788692861692</c:v>
                </c:pt>
                <c:pt idx="88">
                  <c:v>18.033602502110675</c:v>
                </c:pt>
                <c:pt idx="89">
                  <c:v>19.308416311359657</c:v>
                </c:pt>
                <c:pt idx="90">
                  <c:v>17.799603010582885</c:v>
                </c:pt>
                <c:pt idx="91">
                  <c:v>17.507162599780024</c:v>
                </c:pt>
                <c:pt idx="92">
                  <c:v>14.431095078951408</c:v>
                </c:pt>
                <c:pt idx="93">
                  <c:v>10.57140044809687</c:v>
                </c:pt>
                <c:pt idx="94">
                  <c:v>8.9280787072164003</c:v>
                </c:pt>
                <c:pt idx="95">
                  <c:v>6.5011298563101683</c:v>
                </c:pt>
                <c:pt idx="96">
                  <c:v>9.2905538953778333</c:v>
                </c:pt>
                <c:pt idx="97">
                  <c:v>12.079977934445658</c:v>
                </c:pt>
                <c:pt idx="98">
                  <c:v>12.302147753461643</c:v>
                </c:pt>
                <c:pt idx="99">
                  <c:v>11.524317572477631</c:v>
                </c:pt>
                <c:pt idx="100">
                  <c:v>12.179233171441766</c:v>
                </c:pt>
                <c:pt idx="101">
                  <c:v>11.050521660380141</c:v>
                </c:pt>
                <c:pt idx="102">
                  <c:v>10.138183039292432</c:v>
                </c:pt>
                <c:pt idx="103">
                  <c:v>9.4422173081789573</c:v>
                </c:pt>
                <c:pt idx="104">
                  <c:v>8.962624467039717</c:v>
                </c:pt>
                <c:pt idx="105">
                  <c:v>8.6994045158743916</c:v>
                </c:pt>
                <c:pt idx="106">
                  <c:v>6.8689303446572225</c:v>
                </c:pt>
                <c:pt idx="107">
                  <c:v>4.2548290634142916</c:v>
                </c:pt>
                <c:pt idx="108">
                  <c:v>7.3473562119517055E-2</c:v>
                </c:pt>
                <c:pt idx="109">
                  <c:v>-4.1078819391752575</c:v>
                </c:pt>
                <c:pt idx="110">
                  <c:v>-5.8564916605218897</c:v>
                </c:pt>
                <c:pt idx="111">
                  <c:v>-6.388728491894291</c:v>
                </c:pt>
                <c:pt idx="112">
                  <c:v>-4.4882195433185501</c:v>
                </c:pt>
                <c:pt idx="113">
                  <c:v>-4.3713377047687274</c:v>
                </c:pt>
                <c:pt idx="114">
                  <c:v>-4.6053371962965173</c:v>
                </c:pt>
                <c:pt idx="115">
                  <c:v>-6.8393366878243</c:v>
                </c:pt>
                <c:pt idx="116">
                  <c:v>-8.6405903994039335</c:v>
                </c:pt>
                <c:pt idx="117">
                  <c:v>-12.009098331035331</c:v>
                </c:pt>
                <c:pt idx="118">
                  <c:v>-16.161233372692649</c:v>
                </c:pt>
                <c:pt idx="119">
                  <c:v>-16.664249744427675</c:v>
                </c:pt>
                <c:pt idx="120">
                  <c:v>-11.950893226188484</c:v>
                </c:pt>
                <c:pt idx="121">
                  <c:v>-11.804790928001125</c:v>
                </c:pt>
                <c:pt idx="122">
                  <c:v>-16.2259428498656</c:v>
                </c:pt>
                <c:pt idx="123">
                  <c:v>-20.214348991781925</c:v>
                </c:pt>
                <c:pt idx="124">
                  <c:v>-23.770009353749941</c:v>
                </c:pt>
                <c:pt idx="125">
                  <c:v>-22.1092968257439</c:v>
                </c:pt>
                <c:pt idx="126">
                  <c:v>-19.799465627815636</c:v>
                </c:pt>
                <c:pt idx="127">
                  <c:v>-21.840515759964809</c:v>
                </c:pt>
                <c:pt idx="128">
                  <c:v>-23.448820112165993</c:v>
                </c:pt>
                <c:pt idx="129">
                  <c:v>-24.624378684418868</c:v>
                </c:pt>
                <c:pt idx="130">
                  <c:v>-30.367191476723576</c:v>
                </c:pt>
                <c:pt idx="131">
                  <c:v>-35.677258489079975</c:v>
                </c:pt>
                <c:pt idx="132">
                  <c:v>-35.121833941540089</c:v>
                </c:pt>
                <c:pt idx="133">
                  <c:v>-39.133663614051883</c:v>
                </c:pt>
                <c:pt idx="134">
                  <c:v>-42.712747506615528</c:v>
                </c:pt>
                <c:pt idx="135">
                  <c:v>-45.642712729256786</c:v>
                </c:pt>
                <c:pt idx="136">
                  <c:v>-47.923559281975812</c:v>
                </c:pt>
                <c:pt idx="137">
                  <c:v>-49.555287164772466</c:v>
                </c:pt>
                <c:pt idx="138">
                  <c:v>-50.537896377647051</c:v>
                </c:pt>
                <c:pt idx="139">
                  <c:v>-61.087759810573132</c:v>
                </c:pt>
                <c:pt idx="140">
                  <c:v>-65.772131683603092</c:v>
                </c:pt>
                <c:pt idx="141">
                  <c:v>-64.591011996736285</c:v>
                </c:pt>
                <c:pt idx="142">
                  <c:v>-65.977146529921328</c:v>
                </c:pt>
                <c:pt idx="143">
                  <c:v>-70.714162393184125</c:v>
                </c:pt>
                <c:pt idx="144">
                  <c:v>-77.369313806576386</c:v>
                </c:pt>
                <c:pt idx="145">
                  <c:v>-83.375346550046586</c:v>
                </c:pt>
                <c:pt idx="146">
                  <c:v>-88.732260623594229</c:v>
                </c:pt>
                <c:pt idx="147">
                  <c:v>-91.007310247271363</c:v>
                </c:pt>
                <c:pt idx="148">
                  <c:v>-86.633241201026124</c:v>
                </c:pt>
                <c:pt idx="149">
                  <c:v>-81.610053484858653</c:v>
                </c:pt>
                <c:pt idx="150">
                  <c:v>-78.288628428846579</c:v>
                </c:pt>
                <c:pt idx="151">
                  <c:v>-74.318084702911946</c:v>
                </c:pt>
                <c:pt idx="152">
                  <c:v>-72.265676527107104</c:v>
                </c:pt>
                <c:pt idx="153">
                  <c:v>-76.347776791405764</c:v>
                </c:pt>
                <c:pt idx="154">
                  <c:v>-79.348012605834057</c:v>
                </c:pt>
                <c:pt idx="155">
                  <c:v>-84.482756860365555</c:v>
                </c:pt>
                <c:pt idx="156">
                  <c:v>-87.535636665026544</c:v>
                </c:pt>
                <c:pt idx="157">
                  <c:v>-89.506652019817466</c:v>
                </c:pt>
                <c:pt idx="158">
                  <c:v>-91.179430034763442</c:v>
                </c:pt>
                <c:pt idx="159">
                  <c:v>-94.203089379787201</c:v>
                </c:pt>
                <c:pt idx="160">
                  <c:v>-95.49576560501805</c:v>
                </c:pt>
                <c:pt idx="161">
                  <c:v>-96.139323160326668</c:v>
                </c:pt>
                <c:pt idx="162">
                  <c:v>-95.051897595842377</c:v>
                </c:pt>
                <c:pt idx="163">
                  <c:v>-98.098980471461275</c:v>
                </c:pt>
                <c:pt idx="164">
                  <c:v>-102.6314531172618</c:v>
                </c:pt>
                <c:pt idx="165">
                  <c:v>-105.08206131319213</c:v>
                </c:pt>
                <c:pt idx="166">
                  <c:v>-108.80168638932936</c:v>
                </c:pt>
                <c:pt idx="167">
                  <c:v>-116.43944701559604</c:v>
                </c:pt>
                <c:pt idx="168">
                  <c:v>-117.56259741204374</c:v>
                </c:pt>
                <c:pt idx="169">
                  <c:v>-117.38751046864732</c:v>
                </c:pt>
                <c:pt idx="170">
                  <c:v>-118.26506751548372</c:v>
                </c:pt>
                <c:pt idx="171">
                  <c:v>-123.1426245623198</c:v>
                </c:pt>
              </c:numCache>
            </c:numRef>
          </c:yVal>
        </c:ser>
        <c:ser>
          <c:idx val="1"/>
          <c:order val="2"/>
          <c:tx>
            <c:strRef>
              <c:f>'W200S-4'!$W$17</c:f>
              <c:strCache>
                <c:ptCount val="1"/>
                <c:pt idx="0">
                  <c:v>W200S-4 (2)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'W200S-4'!$W$18:$W$274</c:f>
              <c:numCache>
                <c:formatCode>General</c:formatCode>
                <c:ptCount val="257"/>
                <c:pt idx="86">
                  <c:v>15.700347773586785</c:v>
                </c:pt>
                <c:pt idx="87">
                  <c:v>16.758788692861692</c:v>
                </c:pt>
                <c:pt idx="88">
                  <c:v>15.033602502110686</c:v>
                </c:pt>
                <c:pt idx="89">
                  <c:v>14.308416311359675</c:v>
                </c:pt>
                <c:pt idx="90">
                  <c:v>12.799603010582903</c:v>
                </c:pt>
                <c:pt idx="91">
                  <c:v>12.507162599780202</c:v>
                </c:pt>
                <c:pt idx="92">
                  <c:v>11.431095078951579</c:v>
                </c:pt>
                <c:pt idx="93">
                  <c:v>10.57140044809687</c:v>
                </c:pt>
                <c:pt idx="94">
                  <c:v>9.9280787072165566</c:v>
                </c:pt>
                <c:pt idx="95">
                  <c:v>8.5011298563101612</c:v>
                </c:pt>
                <c:pt idx="96">
                  <c:v>8.2905538953778368</c:v>
                </c:pt>
                <c:pt idx="97">
                  <c:v>8.0799779344456724</c:v>
                </c:pt>
                <c:pt idx="98">
                  <c:v>8.3021477534616572</c:v>
                </c:pt>
                <c:pt idx="99">
                  <c:v>8.5243175724776421</c:v>
                </c:pt>
                <c:pt idx="100">
                  <c:v>9.1792331714417763</c:v>
                </c:pt>
                <c:pt idx="101">
                  <c:v>8.0505216603801522</c:v>
                </c:pt>
                <c:pt idx="102">
                  <c:v>5.1381830392924499</c:v>
                </c:pt>
                <c:pt idx="103">
                  <c:v>1.4422173081789857</c:v>
                </c:pt>
                <c:pt idx="104">
                  <c:v>-3.7375532960410851E-2</c:v>
                </c:pt>
                <c:pt idx="105">
                  <c:v>-0.30059548412573633</c:v>
                </c:pt>
                <c:pt idx="106">
                  <c:v>-1.131069655342829</c:v>
                </c:pt>
                <c:pt idx="107">
                  <c:v>-0.74517093658569067</c:v>
                </c:pt>
                <c:pt idx="108">
                  <c:v>7.3473562119517055E-2</c:v>
                </c:pt>
                <c:pt idx="109">
                  <c:v>-0.10788193917527167</c:v>
                </c:pt>
                <c:pt idx="110">
                  <c:v>-0.85649166052190751</c:v>
                </c:pt>
                <c:pt idx="111">
                  <c:v>-2.3887284918943053</c:v>
                </c:pt>
                <c:pt idx="112">
                  <c:v>-4.4882195433185501</c:v>
                </c:pt>
                <c:pt idx="113">
                  <c:v>-7.3713377047687167</c:v>
                </c:pt>
                <c:pt idx="114">
                  <c:v>-9.6053371962964995</c:v>
                </c:pt>
                <c:pt idx="115">
                  <c:v>-11.839336687824282</c:v>
                </c:pt>
                <c:pt idx="116">
                  <c:v>-13.640590399403996</c:v>
                </c:pt>
                <c:pt idx="117">
                  <c:v>-13.009098331035327</c:v>
                </c:pt>
                <c:pt idx="118">
                  <c:v>-11.161233372692667</c:v>
                </c:pt>
                <c:pt idx="119">
                  <c:v>-11.664249744427693</c:v>
                </c:pt>
                <c:pt idx="120">
                  <c:v>-13.950893226188477</c:v>
                </c:pt>
                <c:pt idx="121">
                  <c:v>-15.804790928001111</c:v>
                </c:pt>
                <c:pt idx="122">
                  <c:v>-17.225942849865596</c:v>
                </c:pt>
                <c:pt idx="123">
                  <c:v>-18.214348991781932</c:v>
                </c:pt>
                <c:pt idx="124">
                  <c:v>-18.770009353749959</c:v>
                </c:pt>
                <c:pt idx="125">
                  <c:v>-19.109296825743911</c:v>
                </c:pt>
                <c:pt idx="126">
                  <c:v>-19.799465627815636</c:v>
                </c:pt>
                <c:pt idx="127">
                  <c:v>-21.840515759964809</c:v>
                </c:pt>
                <c:pt idx="128">
                  <c:v>-23.448820112165993</c:v>
                </c:pt>
                <c:pt idx="129">
                  <c:v>-24.624378684418868</c:v>
                </c:pt>
                <c:pt idx="130">
                  <c:v>-27.367191476723587</c:v>
                </c:pt>
                <c:pt idx="131">
                  <c:v>-31.677258489079989</c:v>
                </c:pt>
                <c:pt idx="132">
                  <c:v>-35.121833941540089</c:v>
                </c:pt>
                <c:pt idx="133">
                  <c:v>-39.133663614051883</c:v>
                </c:pt>
                <c:pt idx="134">
                  <c:v>-42.712747506615528</c:v>
                </c:pt>
                <c:pt idx="135">
                  <c:v>-47.642712729256935</c:v>
                </c:pt>
                <c:pt idx="136">
                  <c:v>-52.923559281975798</c:v>
                </c:pt>
                <c:pt idx="137">
                  <c:v>-59.555287164772594</c:v>
                </c:pt>
                <c:pt idx="138">
                  <c:v>-60.537896377647016</c:v>
                </c:pt>
                <c:pt idx="139">
                  <c:v>-61.087759810573132</c:v>
                </c:pt>
                <c:pt idx="140">
                  <c:v>-65.772131683603092</c:v>
                </c:pt>
                <c:pt idx="141">
                  <c:v>-71.59101199673627</c:v>
                </c:pt>
                <c:pt idx="142">
                  <c:v>-75.977146529921299</c:v>
                </c:pt>
                <c:pt idx="143">
                  <c:v>-80.714162393184253</c:v>
                </c:pt>
                <c:pt idx="144">
                  <c:v>-79.369313806576386</c:v>
                </c:pt>
                <c:pt idx="145">
                  <c:v>-78.375346550046601</c:v>
                </c:pt>
                <c:pt idx="146">
                  <c:v>-78.732260623594271</c:v>
                </c:pt>
                <c:pt idx="147">
                  <c:v>-76.007310247271249</c:v>
                </c:pt>
                <c:pt idx="148">
                  <c:v>-72.633241201026166</c:v>
                </c:pt>
                <c:pt idx="149">
                  <c:v>-69.610053484858696</c:v>
                </c:pt>
                <c:pt idx="150">
                  <c:v>-71.288628428846749</c:v>
                </c:pt>
                <c:pt idx="151">
                  <c:v>-72.318084702912273</c:v>
                </c:pt>
                <c:pt idx="152">
                  <c:v>-72.265676527107104</c:v>
                </c:pt>
                <c:pt idx="153">
                  <c:v>-73.347776791405934</c:v>
                </c:pt>
                <c:pt idx="154">
                  <c:v>-74.348012605833915</c:v>
                </c:pt>
                <c:pt idx="155">
                  <c:v>-76.482756860365583</c:v>
                </c:pt>
                <c:pt idx="156">
                  <c:v>-77.535636665026573</c:v>
                </c:pt>
                <c:pt idx="157">
                  <c:v>-77.506652019817494</c:v>
                </c:pt>
                <c:pt idx="158">
                  <c:v>-78.179430034763328</c:v>
                </c:pt>
                <c:pt idx="159">
                  <c:v>-79.203089379787102</c:v>
                </c:pt>
                <c:pt idx="160">
                  <c:v>-85.495765605017766</c:v>
                </c:pt>
                <c:pt idx="161">
                  <c:v>-89.139323160326541</c:v>
                </c:pt>
                <c:pt idx="162">
                  <c:v>-90.051897595842235</c:v>
                </c:pt>
                <c:pt idx="163">
                  <c:v>-91.098980471461459</c:v>
                </c:pt>
                <c:pt idx="164">
                  <c:v>-94.631453117261827</c:v>
                </c:pt>
                <c:pt idx="165">
                  <c:v>-100.08206131319199</c:v>
                </c:pt>
                <c:pt idx="166">
                  <c:v>-103.80168638932922</c:v>
                </c:pt>
                <c:pt idx="167">
                  <c:v>-106.43944701559576</c:v>
                </c:pt>
                <c:pt idx="168">
                  <c:v>-107.56259741204377</c:v>
                </c:pt>
                <c:pt idx="169">
                  <c:v>-112.38751046864718</c:v>
                </c:pt>
                <c:pt idx="170">
                  <c:v>-115.26506751548357</c:v>
                </c:pt>
                <c:pt idx="171">
                  <c:v>-118.14262456231998</c:v>
                </c:pt>
              </c:numCache>
            </c:numRef>
          </c:yVal>
        </c:ser>
        <c:ser>
          <c:idx val="3"/>
          <c:order val="3"/>
          <c:tx>
            <c:strRef>
              <c:f>'W200S-4'!$X$17</c:f>
              <c:strCache>
                <c:ptCount val="1"/>
                <c:pt idx="0">
                  <c:v>W200S-4 (3)</c:v>
                </c:pt>
              </c:strCache>
            </c:strRef>
          </c:tx>
          <c:spPr>
            <a:ln w="6350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'W200S-4'!$B$18:$B$274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'W200S-4'!$X$18:$X$274</c:f>
              <c:numCache>
                <c:formatCode>General</c:formatCode>
                <c:ptCount val="257"/>
                <c:pt idx="86">
                  <c:v>12.700347773586795</c:v>
                </c:pt>
                <c:pt idx="87">
                  <c:v>11.75878869286171</c:v>
                </c:pt>
                <c:pt idx="88">
                  <c:v>11.0336025021107</c:v>
                </c:pt>
                <c:pt idx="89">
                  <c:v>10.308416311359689</c:v>
                </c:pt>
                <c:pt idx="90">
                  <c:v>9.7996030105829135</c:v>
                </c:pt>
                <c:pt idx="91">
                  <c:v>9.5071625997800524</c:v>
                </c:pt>
                <c:pt idx="92">
                  <c:v>9.4310950789515857</c:v>
                </c:pt>
                <c:pt idx="93">
                  <c:v>8.5714004480968775</c:v>
                </c:pt>
                <c:pt idx="94">
                  <c:v>7.9280787072164038</c:v>
                </c:pt>
                <c:pt idx="95">
                  <c:v>7.5011298563101647</c:v>
                </c:pt>
                <c:pt idx="96">
                  <c:v>7.2905538953778404</c:v>
                </c:pt>
                <c:pt idx="97">
                  <c:v>7.0799779344456759</c:v>
                </c:pt>
                <c:pt idx="98">
                  <c:v>7.3021477534616608</c:v>
                </c:pt>
                <c:pt idx="99">
                  <c:v>6.5243175724776492</c:v>
                </c:pt>
                <c:pt idx="100">
                  <c:v>6.179233171441787</c:v>
                </c:pt>
                <c:pt idx="101">
                  <c:v>6.0505216603801593</c:v>
                </c:pt>
                <c:pt idx="102">
                  <c:v>6.1381830392924464</c:v>
                </c:pt>
                <c:pt idx="103">
                  <c:v>5.4422173081789715</c:v>
                </c:pt>
                <c:pt idx="104">
                  <c:v>4.9626244670397313</c:v>
                </c:pt>
                <c:pt idx="105">
                  <c:v>4.6994045158744058</c:v>
                </c:pt>
                <c:pt idx="106">
                  <c:v>3.8689303446570733</c:v>
                </c:pt>
                <c:pt idx="107">
                  <c:v>2.2548290634142987</c:v>
                </c:pt>
                <c:pt idx="108">
                  <c:v>7.3473562119517055E-2</c:v>
                </c:pt>
                <c:pt idx="109">
                  <c:v>-2.1078819391752646</c:v>
                </c:pt>
                <c:pt idx="110">
                  <c:v>-4.8564916605218933</c:v>
                </c:pt>
                <c:pt idx="111">
                  <c:v>-6.388728491894291</c:v>
                </c:pt>
                <c:pt idx="112">
                  <c:v>-7.4882195433185395</c:v>
                </c:pt>
                <c:pt idx="113">
                  <c:v>-8.3713377047687132</c:v>
                </c:pt>
                <c:pt idx="114">
                  <c:v>-8.6053371962965031</c:v>
                </c:pt>
                <c:pt idx="115">
                  <c:v>-10.839336687824286</c:v>
                </c:pt>
                <c:pt idx="116">
                  <c:v>-13.640590399403996</c:v>
                </c:pt>
                <c:pt idx="117">
                  <c:v>-15.00909833103532</c:v>
                </c:pt>
                <c:pt idx="118">
                  <c:v>-16.161233372692649</c:v>
                </c:pt>
                <c:pt idx="119">
                  <c:v>-16.664249744427675</c:v>
                </c:pt>
                <c:pt idx="120">
                  <c:v>-16.950893226188626</c:v>
                </c:pt>
                <c:pt idx="121">
                  <c:v>-16.804790928001268</c:v>
                </c:pt>
                <c:pt idx="122">
                  <c:v>-18.225942849865753</c:v>
                </c:pt>
                <c:pt idx="123">
                  <c:v>-20.214348991781925</c:v>
                </c:pt>
                <c:pt idx="124">
                  <c:v>-21.770009353749948</c:v>
                </c:pt>
                <c:pt idx="125">
                  <c:v>-23.109296825743897</c:v>
                </c:pt>
                <c:pt idx="126">
                  <c:v>-24.799465627815458</c:v>
                </c:pt>
                <c:pt idx="127">
                  <c:v>-26.840515759964951</c:v>
                </c:pt>
                <c:pt idx="128">
                  <c:v>-28.448820112165976</c:v>
                </c:pt>
                <c:pt idx="129">
                  <c:v>-29.624378684418851</c:v>
                </c:pt>
                <c:pt idx="130">
                  <c:v>-30.367191476723576</c:v>
                </c:pt>
                <c:pt idx="131">
                  <c:v>-32.677258489079989</c:v>
                </c:pt>
                <c:pt idx="132">
                  <c:v>-35.121833941540089</c:v>
                </c:pt>
                <c:pt idx="133">
                  <c:v>-42.133663614051869</c:v>
                </c:pt>
                <c:pt idx="134">
                  <c:v>-52.712747506615486</c:v>
                </c:pt>
                <c:pt idx="135">
                  <c:v>-60.642712729256885</c:v>
                </c:pt>
                <c:pt idx="136">
                  <c:v>-62.923559281975763</c:v>
                </c:pt>
                <c:pt idx="137">
                  <c:v>-64.555287164772579</c:v>
                </c:pt>
                <c:pt idx="138">
                  <c:v>-70.537896377646973</c:v>
                </c:pt>
                <c:pt idx="139">
                  <c:v>-76.087759810573075</c:v>
                </c:pt>
                <c:pt idx="140">
                  <c:v>-80.772131683603035</c:v>
                </c:pt>
                <c:pt idx="141">
                  <c:v>-79.591011996736398</c:v>
                </c:pt>
                <c:pt idx="142">
                  <c:v>-82.977146529921271</c:v>
                </c:pt>
                <c:pt idx="143">
                  <c:v>-85.714162393184239</c:v>
                </c:pt>
                <c:pt idx="144">
                  <c:v>-87.369313806576514</c:v>
                </c:pt>
                <c:pt idx="145">
                  <c:v>-83.375346550046586</c:v>
                </c:pt>
                <c:pt idx="146">
                  <c:v>-78.732260623594271</c:v>
                </c:pt>
                <c:pt idx="147">
                  <c:v>-78.007310247271249</c:v>
                </c:pt>
                <c:pt idx="148">
                  <c:v>-71.633241201026166</c:v>
                </c:pt>
                <c:pt idx="149">
                  <c:v>-74.610053484858526</c:v>
                </c:pt>
                <c:pt idx="150">
                  <c:v>-76.288628428846579</c:v>
                </c:pt>
                <c:pt idx="151">
                  <c:v>-77.318084702912103</c:v>
                </c:pt>
                <c:pt idx="152">
                  <c:v>-77.265676527106919</c:v>
                </c:pt>
                <c:pt idx="153">
                  <c:v>-76.347776791405764</c:v>
                </c:pt>
                <c:pt idx="154">
                  <c:v>-79.348012605834057</c:v>
                </c:pt>
                <c:pt idx="155">
                  <c:v>-86.482756860365555</c:v>
                </c:pt>
                <c:pt idx="156">
                  <c:v>-92.535636665026686</c:v>
                </c:pt>
                <c:pt idx="157">
                  <c:v>-92.506652019817295</c:v>
                </c:pt>
                <c:pt idx="158">
                  <c:v>-91.179430034763442</c:v>
                </c:pt>
                <c:pt idx="159">
                  <c:v>-89.203089379787059</c:v>
                </c:pt>
                <c:pt idx="160">
                  <c:v>-90.495765605017908</c:v>
                </c:pt>
                <c:pt idx="161">
                  <c:v>-96.139323160326668</c:v>
                </c:pt>
                <c:pt idx="162">
                  <c:v>-100.05189759584219</c:v>
                </c:pt>
                <c:pt idx="163">
                  <c:v>-103.09898047146142</c:v>
                </c:pt>
                <c:pt idx="164">
                  <c:v>-109.63145311726194</c:v>
                </c:pt>
                <c:pt idx="165">
                  <c:v>-115.0820613131921</c:v>
                </c:pt>
                <c:pt idx="166">
                  <c:v>-118.80168638932932</c:v>
                </c:pt>
                <c:pt idx="167">
                  <c:v>-121.43944701559587</c:v>
                </c:pt>
                <c:pt idx="168">
                  <c:v>-122.56259741204357</c:v>
                </c:pt>
                <c:pt idx="169">
                  <c:v>-122.38751046864714</c:v>
                </c:pt>
                <c:pt idx="170">
                  <c:v>-130.26506751548368</c:v>
                </c:pt>
                <c:pt idx="171">
                  <c:v>-138.1426245623199</c:v>
                </c:pt>
              </c:numCache>
            </c:numRef>
          </c:yVal>
        </c:ser>
        <c:axId val="97041024"/>
        <c:axId val="97589120"/>
      </c:scatterChart>
      <c:valAx>
        <c:axId val="97041024"/>
        <c:scaling>
          <c:logBase val="10"/>
          <c:orientation val="minMax"/>
          <c:max val="1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0647064686534431"/>
              <c:y val="0.86533136482939632"/>
            </c:manualLayout>
          </c:layout>
        </c:title>
        <c:numFmt formatCode="General" sourceLinked="1"/>
        <c:tickLblPos val="nextTo"/>
        <c:crossAx val="97589120"/>
        <c:crossesAt val="-360"/>
        <c:crossBetween val="midCat"/>
      </c:valAx>
      <c:valAx>
        <c:axId val="97589120"/>
        <c:scaling>
          <c:orientation val="minMax"/>
          <c:max val="180"/>
          <c:min val="-18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[grd]</a:t>
                </a:r>
              </a:p>
            </c:rich>
          </c:tx>
        </c:title>
        <c:numFmt formatCode="General" sourceLinked="1"/>
        <c:tickLblPos val="nextTo"/>
        <c:crossAx val="97041024"/>
        <c:crosses val="autoZero"/>
        <c:crossBetween val="midCat"/>
        <c:majorUnit val="30"/>
      </c:valAx>
    </c:plotArea>
    <c:legend>
      <c:legendPos val="b"/>
      <c:layout>
        <c:manualLayout>
          <c:xMode val="edge"/>
          <c:yMode val="edge"/>
          <c:x val="7.0884160074956414E-3"/>
          <c:y val="0.91628280839894949"/>
          <c:w val="0.98879042865637623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0650605487500876E-2"/>
          <c:y val="5.1400554097404488E-2"/>
          <c:w val="0.88980465353919758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'WS20E-4'!$I$17</c:f>
              <c:strCache>
                <c:ptCount val="1"/>
                <c:pt idx="0">
                  <c:v>WS20E-4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'WS20E-4'!$B$18:$B$274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'WS20E-4'!$I$18:$I$274</c:f>
              <c:numCache>
                <c:formatCode>General</c:formatCode>
                <c:ptCount val="257"/>
                <c:pt idx="0">
                  <c:v>55.664999999999999</c:v>
                </c:pt>
                <c:pt idx="1">
                  <c:v>56.414999999999999</c:v>
                </c:pt>
                <c:pt idx="2">
                  <c:v>57.167999999999999</c:v>
                </c:pt>
                <c:pt idx="3">
                  <c:v>57.923999999999999</c:v>
                </c:pt>
                <c:pt idx="4">
                  <c:v>58.683999999999997</c:v>
                </c:pt>
                <c:pt idx="5">
                  <c:v>59.447000000000003</c:v>
                </c:pt>
                <c:pt idx="6">
                  <c:v>60.213000000000001</c:v>
                </c:pt>
                <c:pt idx="7">
                  <c:v>60.984000000000002</c:v>
                </c:pt>
                <c:pt idx="8">
                  <c:v>61.759</c:v>
                </c:pt>
                <c:pt idx="9">
                  <c:v>62.539000000000001</c:v>
                </c:pt>
                <c:pt idx="10">
                  <c:v>63.323</c:v>
                </c:pt>
                <c:pt idx="11">
                  <c:v>64.113</c:v>
                </c:pt>
                <c:pt idx="12">
                  <c:v>64.908000000000001</c:v>
                </c:pt>
                <c:pt idx="13">
                  <c:v>65.707999999999998</c:v>
                </c:pt>
                <c:pt idx="14">
                  <c:v>66.515000000000001</c:v>
                </c:pt>
                <c:pt idx="15">
                  <c:v>67.328999999999994</c:v>
                </c:pt>
                <c:pt idx="16">
                  <c:v>68.150000000000006</c:v>
                </c:pt>
                <c:pt idx="17">
                  <c:v>68.977999999999994</c:v>
                </c:pt>
                <c:pt idx="18">
                  <c:v>69.813000000000002</c:v>
                </c:pt>
                <c:pt idx="19">
                  <c:v>70.656999999999996</c:v>
                </c:pt>
                <c:pt idx="20">
                  <c:v>71.509</c:v>
                </c:pt>
                <c:pt idx="21">
                  <c:v>72.37</c:v>
                </c:pt>
                <c:pt idx="22">
                  <c:v>73.239999999999995</c:v>
                </c:pt>
                <c:pt idx="23">
                  <c:v>74.117999999999995</c:v>
                </c:pt>
                <c:pt idx="24">
                  <c:v>75.004999999999995</c:v>
                </c:pt>
                <c:pt idx="25">
                  <c:v>75.900000000000006</c:v>
                </c:pt>
                <c:pt idx="26">
                  <c:v>76.802000000000007</c:v>
                </c:pt>
                <c:pt idx="27">
                  <c:v>77.709000000000003</c:v>
                </c:pt>
                <c:pt idx="28">
                  <c:v>78.617999999999995</c:v>
                </c:pt>
                <c:pt idx="29">
                  <c:v>79.527000000000001</c:v>
                </c:pt>
                <c:pt idx="30">
                  <c:v>80.429000000000002</c:v>
                </c:pt>
                <c:pt idx="31">
                  <c:v>81.319000000000003</c:v>
                </c:pt>
                <c:pt idx="32">
                  <c:v>82.186000000000007</c:v>
                </c:pt>
                <c:pt idx="33">
                  <c:v>83.02</c:v>
                </c:pt>
                <c:pt idx="34">
                  <c:v>83.808000000000007</c:v>
                </c:pt>
                <c:pt idx="35">
                  <c:v>84.534000000000006</c:v>
                </c:pt>
                <c:pt idx="36">
                  <c:v>85.183999999999997</c:v>
                </c:pt>
                <c:pt idx="37">
                  <c:v>85.745000000000005</c:v>
                </c:pt>
                <c:pt idx="38">
                  <c:v>86.207999999999998</c:v>
                </c:pt>
                <c:pt idx="39">
                  <c:v>86.569000000000003</c:v>
                </c:pt>
                <c:pt idx="40">
                  <c:v>86.831999999999994</c:v>
                </c:pt>
                <c:pt idx="41">
                  <c:v>87.004000000000005</c:v>
                </c:pt>
                <c:pt idx="42">
                  <c:v>87.1</c:v>
                </c:pt>
                <c:pt idx="43">
                  <c:v>87.132999999999996</c:v>
                </c:pt>
                <c:pt idx="44">
                  <c:v>87.117000000000004</c:v>
                </c:pt>
                <c:pt idx="45">
                  <c:v>87.033000000000001</c:v>
                </c:pt>
                <c:pt idx="46">
                  <c:v>86.927999999999997</c:v>
                </c:pt>
                <c:pt idx="47">
                  <c:v>86.81</c:v>
                </c:pt>
                <c:pt idx="48">
                  <c:v>86.686999999999998</c:v>
                </c:pt>
                <c:pt idx="49">
                  <c:v>86.56</c:v>
                </c:pt>
                <c:pt idx="50">
                  <c:v>86.433999999999997</c:v>
                </c:pt>
                <c:pt idx="51">
                  <c:v>86.311000000000007</c:v>
                </c:pt>
                <c:pt idx="52">
                  <c:v>86.192999999999998</c:v>
                </c:pt>
                <c:pt idx="53">
                  <c:v>86.081999999999994</c:v>
                </c:pt>
                <c:pt idx="54">
                  <c:v>85.977999999999994</c:v>
                </c:pt>
                <c:pt idx="55">
                  <c:v>85.882999999999996</c:v>
                </c:pt>
                <c:pt idx="56">
                  <c:v>85.801000000000002</c:v>
                </c:pt>
                <c:pt idx="57">
                  <c:v>85.730999999999995</c:v>
                </c:pt>
                <c:pt idx="58">
                  <c:v>85.671000000000006</c:v>
                </c:pt>
                <c:pt idx="59">
                  <c:v>85.623000000000005</c:v>
                </c:pt>
                <c:pt idx="60">
                  <c:v>85.584999999999994</c:v>
                </c:pt>
                <c:pt idx="61">
                  <c:v>85.558000000000007</c:v>
                </c:pt>
                <c:pt idx="62">
                  <c:v>85.540999999999997</c:v>
                </c:pt>
                <c:pt idx="63">
                  <c:v>85.531000000000006</c:v>
                </c:pt>
                <c:pt idx="64">
                  <c:v>85.525000000000006</c:v>
                </c:pt>
                <c:pt idx="65">
                  <c:v>85.52</c:v>
                </c:pt>
                <c:pt idx="66">
                  <c:v>85.513000000000005</c:v>
                </c:pt>
                <c:pt idx="67">
                  <c:v>85.495999999999995</c:v>
                </c:pt>
                <c:pt idx="68">
                  <c:v>85.459000000000003</c:v>
                </c:pt>
                <c:pt idx="69">
                  <c:v>85.39</c:v>
                </c:pt>
                <c:pt idx="70">
                  <c:v>85.283000000000001</c:v>
                </c:pt>
                <c:pt idx="71">
                  <c:v>85.147000000000006</c:v>
                </c:pt>
                <c:pt idx="72">
                  <c:v>84.992000000000004</c:v>
                </c:pt>
                <c:pt idx="73">
                  <c:v>84.835999999999999</c:v>
                </c:pt>
                <c:pt idx="74">
                  <c:v>84.692999999999998</c:v>
                </c:pt>
                <c:pt idx="75">
                  <c:v>84.578999999999994</c:v>
                </c:pt>
                <c:pt idx="76">
                  <c:v>84.51</c:v>
                </c:pt>
                <c:pt idx="77">
                  <c:v>84.507999999999996</c:v>
                </c:pt>
                <c:pt idx="78">
                  <c:v>84.573999999999998</c:v>
                </c:pt>
                <c:pt idx="79">
                  <c:v>84.673000000000002</c:v>
                </c:pt>
                <c:pt idx="80">
                  <c:v>84.777000000000001</c:v>
                </c:pt>
                <c:pt idx="81">
                  <c:v>84.852000000000004</c:v>
                </c:pt>
                <c:pt idx="82">
                  <c:v>84.881</c:v>
                </c:pt>
                <c:pt idx="83">
                  <c:v>84.864000000000004</c:v>
                </c:pt>
                <c:pt idx="84">
                  <c:v>84.807000000000002</c:v>
                </c:pt>
                <c:pt idx="85">
                  <c:v>84.73</c:v>
                </c:pt>
                <c:pt idx="86">
                  <c:v>84.84</c:v>
                </c:pt>
                <c:pt idx="87">
                  <c:v>84.988</c:v>
                </c:pt>
                <c:pt idx="88">
                  <c:v>85.12</c:v>
                </c:pt>
                <c:pt idx="89">
                  <c:v>85.218999999999994</c:v>
                </c:pt>
                <c:pt idx="90">
                  <c:v>85.299000000000007</c:v>
                </c:pt>
                <c:pt idx="91">
                  <c:v>85.363</c:v>
                </c:pt>
                <c:pt idx="92">
                  <c:v>85.379000000000005</c:v>
                </c:pt>
                <c:pt idx="93">
                  <c:v>85.314999999999998</c:v>
                </c:pt>
                <c:pt idx="94">
                  <c:v>85.212000000000003</c:v>
                </c:pt>
                <c:pt idx="95">
                  <c:v>85.174999999999997</c:v>
                </c:pt>
                <c:pt idx="96">
                  <c:v>85.251999999999995</c:v>
                </c:pt>
                <c:pt idx="97">
                  <c:v>85.366</c:v>
                </c:pt>
                <c:pt idx="98">
                  <c:v>85.460999999999999</c:v>
                </c:pt>
                <c:pt idx="99">
                  <c:v>85.608999999999995</c:v>
                </c:pt>
                <c:pt idx="100">
                  <c:v>85.884</c:v>
                </c:pt>
                <c:pt idx="101">
                  <c:v>86.281999999999996</c:v>
                </c:pt>
                <c:pt idx="102">
                  <c:v>86.778999999999996</c:v>
                </c:pt>
                <c:pt idx="103">
                  <c:v>87.3</c:v>
                </c:pt>
                <c:pt idx="104">
                  <c:v>87.688000000000002</c:v>
                </c:pt>
                <c:pt idx="105">
                  <c:v>87.903000000000006</c:v>
                </c:pt>
                <c:pt idx="106">
                  <c:v>88.043999999999997</c:v>
                </c:pt>
                <c:pt idx="107">
                  <c:v>88.162000000000006</c:v>
                </c:pt>
                <c:pt idx="108">
                  <c:v>88.346000000000004</c:v>
                </c:pt>
                <c:pt idx="109">
                  <c:v>88.6</c:v>
                </c:pt>
                <c:pt idx="110">
                  <c:v>88.734999999999999</c:v>
                </c:pt>
                <c:pt idx="111">
                  <c:v>88.79</c:v>
                </c:pt>
                <c:pt idx="112">
                  <c:v>88.846999999999994</c:v>
                </c:pt>
                <c:pt idx="113">
                  <c:v>88.808999999999997</c:v>
                </c:pt>
                <c:pt idx="114">
                  <c:v>88.722999999999999</c:v>
                </c:pt>
                <c:pt idx="115">
                  <c:v>88.581999999999994</c:v>
                </c:pt>
                <c:pt idx="116">
                  <c:v>88.447999999999993</c:v>
                </c:pt>
                <c:pt idx="117">
                  <c:v>88.391000000000005</c:v>
                </c:pt>
                <c:pt idx="118">
                  <c:v>88.283000000000001</c:v>
                </c:pt>
                <c:pt idx="119">
                  <c:v>88.043999999999997</c:v>
                </c:pt>
                <c:pt idx="120">
                  <c:v>87.65</c:v>
                </c:pt>
                <c:pt idx="121">
                  <c:v>87.352999999999994</c:v>
                </c:pt>
                <c:pt idx="122">
                  <c:v>87.239000000000004</c:v>
                </c:pt>
                <c:pt idx="123">
                  <c:v>87.316000000000003</c:v>
                </c:pt>
                <c:pt idx="124">
                  <c:v>87.525999999999996</c:v>
                </c:pt>
                <c:pt idx="125">
                  <c:v>87.935000000000002</c:v>
                </c:pt>
                <c:pt idx="126">
                  <c:v>88.311000000000007</c:v>
                </c:pt>
                <c:pt idx="127">
                  <c:v>88.552000000000007</c:v>
                </c:pt>
                <c:pt idx="128">
                  <c:v>88.617000000000004</c:v>
                </c:pt>
                <c:pt idx="129">
                  <c:v>88.593000000000004</c:v>
                </c:pt>
                <c:pt idx="130">
                  <c:v>88.516000000000005</c:v>
                </c:pt>
                <c:pt idx="131">
                  <c:v>88.432000000000002</c:v>
                </c:pt>
                <c:pt idx="132">
                  <c:v>88.388000000000005</c:v>
                </c:pt>
                <c:pt idx="133">
                  <c:v>88.322000000000003</c:v>
                </c:pt>
                <c:pt idx="134">
                  <c:v>88.418999999999997</c:v>
                </c:pt>
                <c:pt idx="135">
                  <c:v>88.635999999999996</c:v>
                </c:pt>
                <c:pt idx="136">
                  <c:v>88.882999999999996</c:v>
                </c:pt>
                <c:pt idx="137">
                  <c:v>89.141000000000005</c:v>
                </c:pt>
                <c:pt idx="138">
                  <c:v>89.361999999999995</c:v>
                </c:pt>
                <c:pt idx="139">
                  <c:v>89.591999999999999</c:v>
                </c:pt>
                <c:pt idx="140">
                  <c:v>89.778999999999996</c:v>
                </c:pt>
                <c:pt idx="141">
                  <c:v>89.930999999999997</c:v>
                </c:pt>
                <c:pt idx="142">
                  <c:v>90.102999999999994</c:v>
                </c:pt>
                <c:pt idx="143">
                  <c:v>90.14</c:v>
                </c:pt>
                <c:pt idx="144">
                  <c:v>90.141999999999996</c:v>
                </c:pt>
                <c:pt idx="145">
                  <c:v>90.072000000000003</c:v>
                </c:pt>
                <c:pt idx="146">
                  <c:v>90.090999999999994</c:v>
                </c:pt>
                <c:pt idx="147">
                  <c:v>90.159000000000006</c:v>
                </c:pt>
                <c:pt idx="148">
                  <c:v>90.32</c:v>
                </c:pt>
                <c:pt idx="149">
                  <c:v>90.400999999999996</c:v>
                </c:pt>
                <c:pt idx="150">
                  <c:v>90.569000000000003</c:v>
                </c:pt>
                <c:pt idx="151">
                  <c:v>90.751000000000005</c:v>
                </c:pt>
                <c:pt idx="152">
                  <c:v>90.87</c:v>
                </c:pt>
                <c:pt idx="153">
                  <c:v>90.954999999999998</c:v>
                </c:pt>
                <c:pt idx="154">
                  <c:v>91.070999999999998</c:v>
                </c:pt>
                <c:pt idx="155">
                  <c:v>91.221999999999994</c:v>
                </c:pt>
                <c:pt idx="156">
                  <c:v>91.346999999999994</c:v>
                </c:pt>
                <c:pt idx="157">
                  <c:v>91.540999999999997</c:v>
                </c:pt>
                <c:pt idx="158">
                  <c:v>91.635999999999996</c:v>
                </c:pt>
                <c:pt idx="159">
                  <c:v>91.710999999999999</c:v>
                </c:pt>
                <c:pt idx="160">
                  <c:v>91.722999999999999</c:v>
                </c:pt>
                <c:pt idx="161">
                  <c:v>91.638000000000005</c:v>
                </c:pt>
                <c:pt idx="162">
                  <c:v>91.433000000000007</c:v>
                </c:pt>
                <c:pt idx="163">
                  <c:v>91.182000000000002</c:v>
                </c:pt>
                <c:pt idx="164">
                  <c:v>90.926000000000002</c:v>
                </c:pt>
                <c:pt idx="165">
                  <c:v>90.643000000000001</c:v>
                </c:pt>
                <c:pt idx="166">
                  <c:v>90.366</c:v>
                </c:pt>
                <c:pt idx="167">
                  <c:v>90.123000000000005</c:v>
                </c:pt>
                <c:pt idx="168">
                  <c:v>89.888999999999996</c:v>
                </c:pt>
                <c:pt idx="169">
                  <c:v>89.575000000000003</c:v>
                </c:pt>
                <c:pt idx="170">
                  <c:v>89.11</c:v>
                </c:pt>
                <c:pt idx="171">
                  <c:v>88.572000000000003</c:v>
                </c:pt>
                <c:pt idx="172">
                  <c:v>88.147000000000006</c:v>
                </c:pt>
                <c:pt idx="173">
                  <c:v>88.027000000000001</c:v>
                </c:pt>
                <c:pt idx="174">
                  <c:v>88.248000000000005</c:v>
                </c:pt>
                <c:pt idx="175">
                  <c:v>88.706000000000003</c:v>
                </c:pt>
                <c:pt idx="176">
                  <c:v>89.242000000000004</c:v>
                </c:pt>
                <c:pt idx="177">
                  <c:v>89.688999999999993</c:v>
                </c:pt>
                <c:pt idx="178">
                  <c:v>89.912999999999997</c:v>
                </c:pt>
                <c:pt idx="179">
                  <c:v>89.906999999999996</c:v>
                </c:pt>
                <c:pt idx="180">
                  <c:v>89.825999999999993</c:v>
                </c:pt>
                <c:pt idx="181">
                  <c:v>89.91</c:v>
                </c:pt>
                <c:pt idx="182">
                  <c:v>90.304000000000002</c:v>
                </c:pt>
                <c:pt idx="183">
                  <c:v>90.927000000000007</c:v>
                </c:pt>
                <c:pt idx="184">
                  <c:v>91.546999999999997</c:v>
                </c:pt>
                <c:pt idx="185">
                  <c:v>91.977999999999994</c:v>
                </c:pt>
                <c:pt idx="186">
                  <c:v>92.158000000000001</c:v>
                </c:pt>
                <c:pt idx="187">
                  <c:v>92.13</c:v>
                </c:pt>
                <c:pt idx="188">
                  <c:v>91.95</c:v>
                </c:pt>
                <c:pt idx="189">
                  <c:v>91.587000000000003</c:v>
                </c:pt>
                <c:pt idx="190">
                  <c:v>91.025000000000006</c:v>
                </c:pt>
                <c:pt idx="191">
                  <c:v>90.225999999999999</c:v>
                </c:pt>
                <c:pt idx="192">
                  <c:v>89.171000000000006</c:v>
                </c:pt>
                <c:pt idx="193">
                  <c:v>87.957999999999998</c:v>
                </c:pt>
                <c:pt idx="194">
                  <c:v>86.808000000000007</c:v>
                </c:pt>
                <c:pt idx="195">
                  <c:v>86.108999999999995</c:v>
                </c:pt>
                <c:pt idx="196">
                  <c:v>86.106999999999999</c:v>
                </c:pt>
                <c:pt idx="197">
                  <c:v>86.738</c:v>
                </c:pt>
                <c:pt idx="198">
                  <c:v>87.66</c:v>
                </c:pt>
                <c:pt idx="199">
                  <c:v>88.415000000000006</c:v>
                </c:pt>
                <c:pt idx="200">
                  <c:v>88.757000000000005</c:v>
                </c:pt>
                <c:pt idx="201">
                  <c:v>88.834999999999994</c:v>
                </c:pt>
                <c:pt idx="202">
                  <c:v>89.08</c:v>
                </c:pt>
                <c:pt idx="203">
                  <c:v>89.793999999999997</c:v>
                </c:pt>
                <c:pt idx="204">
                  <c:v>90.858999999999995</c:v>
                </c:pt>
                <c:pt idx="205">
                  <c:v>91.808000000000007</c:v>
                </c:pt>
                <c:pt idx="206">
                  <c:v>92.134</c:v>
                </c:pt>
                <c:pt idx="207">
                  <c:v>91.623000000000005</c:v>
                </c:pt>
                <c:pt idx="208">
                  <c:v>90.418999999999997</c:v>
                </c:pt>
                <c:pt idx="209">
                  <c:v>88.805999999999997</c:v>
                </c:pt>
                <c:pt idx="210">
                  <c:v>87.084000000000003</c:v>
                </c:pt>
                <c:pt idx="211">
                  <c:v>85.495000000000005</c:v>
                </c:pt>
                <c:pt idx="212">
                  <c:v>84.119</c:v>
                </c:pt>
                <c:pt idx="213">
                  <c:v>82.900999999999996</c:v>
                </c:pt>
                <c:pt idx="214">
                  <c:v>81.78</c:v>
                </c:pt>
                <c:pt idx="215">
                  <c:v>80.656000000000006</c:v>
                </c:pt>
                <c:pt idx="216">
                  <c:v>79.472999999999999</c:v>
                </c:pt>
                <c:pt idx="217">
                  <c:v>78.373999999999995</c:v>
                </c:pt>
                <c:pt idx="218">
                  <c:v>77.552999999999997</c:v>
                </c:pt>
                <c:pt idx="219">
                  <c:v>77.004999999999995</c:v>
                </c:pt>
                <c:pt idx="220">
                  <c:v>76.488</c:v>
                </c:pt>
                <c:pt idx="221">
                  <c:v>75.632999999999996</c:v>
                </c:pt>
                <c:pt idx="222">
                  <c:v>74.197000000000003</c:v>
                </c:pt>
                <c:pt idx="223">
                  <c:v>72.245000000000005</c:v>
                </c:pt>
                <c:pt idx="224">
                  <c:v>70.013999999999996</c:v>
                </c:pt>
                <c:pt idx="225">
                  <c:v>67.748999999999995</c:v>
                </c:pt>
                <c:pt idx="226">
                  <c:v>65.793000000000006</c:v>
                </c:pt>
                <c:pt idx="227">
                  <c:v>64.477000000000004</c:v>
                </c:pt>
                <c:pt idx="228">
                  <c:v>63.795000000000002</c:v>
                </c:pt>
                <c:pt idx="229">
                  <c:v>63.545999999999999</c:v>
                </c:pt>
                <c:pt idx="230">
                  <c:v>63.445999999999998</c:v>
                </c:pt>
                <c:pt idx="231">
                  <c:v>63.042999999999999</c:v>
                </c:pt>
                <c:pt idx="232">
                  <c:v>62.225999999999999</c:v>
                </c:pt>
                <c:pt idx="233">
                  <c:v>61.554000000000002</c:v>
                </c:pt>
                <c:pt idx="234">
                  <c:v>61.646999999999998</c:v>
                </c:pt>
                <c:pt idx="235">
                  <c:v>62.637</c:v>
                </c:pt>
                <c:pt idx="236">
                  <c:v>63.975999999999999</c:v>
                </c:pt>
                <c:pt idx="237">
                  <c:v>64.765000000000001</c:v>
                </c:pt>
                <c:pt idx="238">
                  <c:v>64.587999999999994</c:v>
                </c:pt>
                <c:pt idx="239">
                  <c:v>63.640999999999998</c:v>
                </c:pt>
                <c:pt idx="240">
                  <c:v>62.186</c:v>
                </c:pt>
                <c:pt idx="241">
                  <c:v>60.335999999999999</c:v>
                </c:pt>
                <c:pt idx="242">
                  <c:v>58.448999999999998</c:v>
                </c:pt>
                <c:pt idx="243">
                  <c:v>57.253</c:v>
                </c:pt>
                <c:pt idx="244">
                  <c:v>57.509</c:v>
                </c:pt>
                <c:pt idx="245">
                  <c:v>59.283000000000001</c:v>
                </c:pt>
                <c:pt idx="246">
                  <c:v>61.529000000000003</c:v>
                </c:pt>
                <c:pt idx="247">
                  <c:v>62.698</c:v>
                </c:pt>
                <c:pt idx="248">
                  <c:v>61.792999999999999</c:v>
                </c:pt>
                <c:pt idx="249">
                  <c:v>59.261000000000003</c:v>
                </c:pt>
                <c:pt idx="250">
                  <c:v>56.796999999999997</c:v>
                </c:pt>
                <c:pt idx="251">
                  <c:v>55.610999999999997</c:v>
                </c:pt>
                <c:pt idx="252">
                  <c:v>55.457999999999998</c:v>
                </c:pt>
                <c:pt idx="253">
                  <c:v>55.253999999999998</c:v>
                </c:pt>
                <c:pt idx="254">
                  <c:v>54.247</c:v>
                </c:pt>
                <c:pt idx="255">
                  <c:v>52.941000000000003</c:v>
                </c:pt>
                <c:pt idx="256">
                  <c:v>51.965000000000003</c:v>
                </c:pt>
              </c:numCache>
            </c:numRef>
          </c:yVal>
        </c:ser>
        <c:ser>
          <c:idx val="0"/>
          <c:order val="1"/>
          <c:tx>
            <c:strRef>
              <c:f>'WS20E-4'!$P$17</c:f>
              <c:strCache>
                <c:ptCount val="1"/>
                <c:pt idx="0">
                  <c:v>WS20E-4 (1)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'WS20E-4'!$B$18:$B$274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'WS20E-4'!$P$18:$P$274</c:f>
              <c:numCache>
                <c:formatCode>General</c:formatCode>
                <c:ptCount val="257"/>
                <c:pt idx="86">
                  <c:v>88.398859744633725</c:v>
                </c:pt>
                <c:pt idx="87">
                  <c:v>88.398859744633725</c:v>
                </c:pt>
                <c:pt idx="88">
                  <c:v>88.398859744633725</c:v>
                </c:pt>
                <c:pt idx="89">
                  <c:v>88.398859744633725</c:v>
                </c:pt>
                <c:pt idx="90">
                  <c:v>88.398859744633725</c:v>
                </c:pt>
                <c:pt idx="91">
                  <c:v>88.147077198473326</c:v>
                </c:pt>
                <c:pt idx="92">
                  <c:v>87.887777655185971</c:v>
                </c:pt>
                <c:pt idx="93">
                  <c:v>87.620498424026337</c:v>
                </c:pt>
                <c:pt idx="94">
                  <c:v>87.620498424026337</c:v>
                </c:pt>
                <c:pt idx="95">
                  <c:v>87.620498424026337</c:v>
                </c:pt>
                <c:pt idx="96">
                  <c:v>87.620498424026337</c:v>
                </c:pt>
                <c:pt idx="97">
                  <c:v>87.620498424026337</c:v>
                </c:pt>
                <c:pt idx="98">
                  <c:v>87.620498424026337</c:v>
                </c:pt>
                <c:pt idx="99">
                  <c:v>87.620498424026337</c:v>
                </c:pt>
                <c:pt idx="100">
                  <c:v>87.620498424026337</c:v>
                </c:pt>
                <c:pt idx="101">
                  <c:v>87.680498424026339</c:v>
                </c:pt>
                <c:pt idx="102">
                  <c:v>87.720498424026331</c:v>
                </c:pt>
                <c:pt idx="103">
                  <c:v>87.987777655185965</c:v>
                </c:pt>
                <c:pt idx="104">
                  <c:v>88.24707719847332</c:v>
                </c:pt>
                <c:pt idx="105">
                  <c:v>88.24707719847332</c:v>
                </c:pt>
                <c:pt idx="106">
                  <c:v>88.24707719847332</c:v>
                </c:pt>
                <c:pt idx="107">
                  <c:v>88.24707719847332</c:v>
                </c:pt>
                <c:pt idx="108">
                  <c:v>88.24707719847332</c:v>
                </c:pt>
                <c:pt idx="109">
                  <c:v>88.24707719847332</c:v>
                </c:pt>
                <c:pt idx="110">
                  <c:v>88.24707719847332</c:v>
                </c:pt>
                <c:pt idx="111">
                  <c:v>88.24707719847332</c:v>
                </c:pt>
                <c:pt idx="112">
                  <c:v>88.24707719847332</c:v>
                </c:pt>
                <c:pt idx="113">
                  <c:v>88.51385974463372</c:v>
                </c:pt>
                <c:pt idx="114">
                  <c:v>88.572859744633732</c:v>
                </c:pt>
                <c:pt idx="115">
                  <c:v>88.598859744633728</c:v>
                </c:pt>
                <c:pt idx="116">
                  <c:v>88.598859744633728</c:v>
                </c:pt>
                <c:pt idx="117">
                  <c:v>88.598859744633728</c:v>
                </c:pt>
                <c:pt idx="118">
                  <c:v>88.843548872973969</c:v>
                </c:pt>
                <c:pt idx="119">
                  <c:v>89.081533338968114</c:v>
                </c:pt>
                <c:pt idx="120">
                  <c:v>89.081533338968114</c:v>
                </c:pt>
                <c:pt idx="121">
                  <c:v>89.313170789964417</c:v>
                </c:pt>
                <c:pt idx="122">
                  <c:v>89.538790998158206</c:v>
                </c:pt>
                <c:pt idx="123">
                  <c:v>89.758698684187465</c:v>
                </c:pt>
                <c:pt idx="124">
                  <c:v>89.758698684187465</c:v>
                </c:pt>
                <c:pt idx="125">
                  <c:v>90.18248466558623</c:v>
                </c:pt>
                <c:pt idx="126">
                  <c:v>90.179984665586232</c:v>
                </c:pt>
                <c:pt idx="127">
                  <c:v>90.138484665586233</c:v>
                </c:pt>
                <c:pt idx="128">
                  <c:v>90.095984665586229</c:v>
                </c:pt>
                <c:pt idx="129">
                  <c:v>90.082484665586222</c:v>
                </c:pt>
                <c:pt idx="130">
                  <c:v>90.286867969219955</c:v>
                </c:pt>
                <c:pt idx="131">
                  <c:v>90.266867969219959</c:v>
                </c:pt>
                <c:pt idx="132">
                  <c:v>90.219367969219959</c:v>
                </c:pt>
                <c:pt idx="133">
                  <c:v>90.174067969219962</c:v>
                </c:pt>
                <c:pt idx="134">
                  <c:v>90.134467969219955</c:v>
                </c:pt>
                <c:pt idx="135">
                  <c:v>90.093667969219965</c:v>
                </c:pt>
                <c:pt idx="136">
                  <c:v>90.286552387351975</c:v>
                </c:pt>
                <c:pt idx="137">
                  <c:v>90.286552387351975</c:v>
                </c:pt>
                <c:pt idx="138">
                  <c:v>90.309352387351964</c:v>
                </c:pt>
                <c:pt idx="139">
                  <c:v>90.154867969219964</c:v>
                </c:pt>
                <c:pt idx="140">
                  <c:v>90.186867969219961</c:v>
                </c:pt>
                <c:pt idx="141">
                  <c:v>89.982484665586227</c:v>
                </c:pt>
                <c:pt idx="142">
                  <c:v>89.982484665586227</c:v>
                </c:pt>
                <c:pt idx="143">
                  <c:v>89.982484665586227</c:v>
                </c:pt>
                <c:pt idx="144">
                  <c:v>89.982484665586227</c:v>
                </c:pt>
                <c:pt idx="145">
                  <c:v>90.186867969219961</c:v>
                </c:pt>
                <c:pt idx="146">
                  <c:v>90.186867969219961</c:v>
                </c:pt>
                <c:pt idx="147">
                  <c:v>90.386552387351969</c:v>
                </c:pt>
                <c:pt idx="148">
                  <c:v>90.386552387351969</c:v>
                </c:pt>
                <c:pt idx="149">
                  <c:v>90.361409530209116</c:v>
                </c:pt>
                <c:pt idx="150">
                  <c:v>90.659512634116837</c:v>
                </c:pt>
                <c:pt idx="151">
                  <c:v>90.572655491259695</c:v>
                </c:pt>
                <c:pt idx="152">
                  <c:v>90.759456016342568</c:v>
                </c:pt>
                <c:pt idx="153">
                  <c:v>90.759456016342568</c:v>
                </c:pt>
                <c:pt idx="154">
                  <c:v>90.968323605139958</c:v>
                </c:pt>
                <c:pt idx="155">
                  <c:v>91.191170458198485</c:v>
                </c:pt>
                <c:pt idx="156">
                  <c:v>91.04232360513997</c:v>
                </c:pt>
                <c:pt idx="157">
                  <c:v>91.04232360513997</c:v>
                </c:pt>
                <c:pt idx="158">
                  <c:v>90.859456016342577</c:v>
                </c:pt>
                <c:pt idx="159">
                  <c:v>90.672655491259704</c:v>
                </c:pt>
                <c:pt idx="160">
                  <c:v>90.672655491259704</c:v>
                </c:pt>
                <c:pt idx="161">
                  <c:v>90.822256016342564</c:v>
                </c:pt>
                <c:pt idx="162">
                  <c:v>90.962523605139964</c:v>
                </c:pt>
                <c:pt idx="163">
                  <c:v>91.121420458198486</c:v>
                </c:pt>
                <c:pt idx="164">
                  <c:v>91.296898944348584</c:v>
                </c:pt>
                <c:pt idx="165">
                  <c:v>91.296898944348584</c:v>
                </c:pt>
                <c:pt idx="166">
                  <c:v>91.296898944348584</c:v>
                </c:pt>
                <c:pt idx="167">
                  <c:v>90.942323605139961</c:v>
                </c:pt>
                <c:pt idx="168">
                  <c:v>90.336840042226001</c:v>
                </c:pt>
                <c:pt idx="169">
                  <c:v>89.267425956914735</c:v>
                </c:pt>
                <c:pt idx="170">
                  <c:v>88.777170789964416</c:v>
                </c:pt>
                <c:pt idx="171">
                  <c:v>88.263548872973971</c:v>
                </c:pt>
                <c:pt idx="172">
                  <c:v>87.771692583088708</c:v>
                </c:pt>
                <c:pt idx="173">
                  <c:v>87.816307967704091</c:v>
                </c:pt>
                <c:pt idx="174">
                  <c:v>87.847077198473329</c:v>
                </c:pt>
                <c:pt idx="175">
                  <c:v>88.581533338968114</c:v>
                </c:pt>
                <c:pt idx="176">
                  <c:v>89.258698684187465</c:v>
                </c:pt>
                <c:pt idx="177">
                  <c:v>89.725151332252892</c:v>
                </c:pt>
                <c:pt idx="178">
                  <c:v>90.171885720685296</c:v>
                </c:pt>
                <c:pt idx="179">
                  <c:v>90.157802387351964</c:v>
                </c:pt>
                <c:pt idx="180">
                  <c:v>90.115302387351974</c:v>
                </c:pt>
                <c:pt idx="181">
                  <c:v>89.747484665586228</c:v>
                </c:pt>
                <c:pt idx="182">
                  <c:v>89.503698684187455</c:v>
                </c:pt>
                <c:pt idx="183">
                  <c:v>89.438790998158197</c:v>
                </c:pt>
                <c:pt idx="184">
                  <c:v>89.213170789964408</c:v>
                </c:pt>
                <c:pt idx="185">
                  <c:v>88.981533338968106</c:v>
                </c:pt>
                <c:pt idx="186">
                  <c:v>87.950935549922818</c:v>
                </c:pt>
                <c:pt idx="187">
                  <c:v>86.784406184028398</c:v>
                </c:pt>
                <c:pt idx="188">
                  <c:v>86.412659484472599</c:v>
                </c:pt>
                <c:pt idx="189">
                  <c:v>86.923923952021468</c:v>
                </c:pt>
                <c:pt idx="190">
                  <c:v>87.395736519264432</c:v>
                </c:pt>
                <c:pt idx="191">
                  <c:v>87.30621270974062</c:v>
                </c:pt>
                <c:pt idx="192">
                  <c:v>86.654706560717116</c:v>
                </c:pt>
                <c:pt idx="193">
                  <c:v>85.927616006211736</c:v>
                </c:pt>
                <c:pt idx="194">
                  <c:v>84.812820770199394</c:v>
                </c:pt>
                <c:pt idx="195">
                  <c:v>84.421723691860336</c:v>
                </c:pt>
                <c:pt idx="196">
                  <c:v>84.421723691860336</c:v>
                </c:pt>
                <c:pt idx="197">
                  <c:v>84.755499031068965</c:v>
                </c:pt>
                <c:pt idx="198">
                  <c:v>85.052165817044582</c:v>
                </c:pt>
                <c:pt idx="199">
                  <c:v>85.650659484472598</c:v>
                </c:pt>
                <c:pt idx="200">
                  <c:v>86.207781094878612</c:v>
                </c:pt>
                <c:pt idx="201">
                  <c:v>85.564945198758309</c:v>
                </c:pt>
                <c:pt idx="202">
                  <c:v>84.801103748079058</c:v>
                </c:pt>
                <c:pt idx="203">
                  <c:v>85.31238362240363</c:v>
                </c:pt>
                <c:pt idx="204">
                  <c:v>86.633110988519306</c:v>
                </c:pt>
                <c:pt idx="205">
                  <c:v>87.298215539640637</c:v>
                </c:pt>
                <c:pt idx="206">
                  <c:v>88.141728987217761</c:v>
                </c:pt>
                <c:pt idx="207">
                  <c:v>88.521878604980174</c:v>
                </c:pt>
                <c:pt idx="208">
                  <c:v>88.473341808443365</c:v>
                </c:pt>
                <c:pt idx="209">
                  <c:v>87.51717078996441</c:v>
                </c:pt>
                <c:pt idx="210">
                  <c:v>86.203777655185974</c:v>
                </c:pt>
                <c:pt idx="211">
                  <c:v>82.630817338937206</c:v>
                </c:pt>
                <c:pt idx="212">
                  <c:v>80.347017825734241</c:v>
                </c:pt>
                <c:pt idx="213">
                  <c:v>80.84594895969434</c:v>
                </c:pt>
              </c:numCache>
            </c:numRef>
          </c:yVal>
        </c:ser>
        <c:ser>
          <c:idx val="1"/>
          <c:order val="2"/>
          <c:tx>
            <c:strRef>
              <c:f>'WS20E-4'!$Q$17</c:f>
              <c:strCache>
                <c:ptCount val="1"/>
                <c:pt idx="0">
                  <c:v>WS20E-4 (2)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'WS20E-4'!$B$18:$B$274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'WS20E-4'!$Q$18:$Q$274</c:f>
              <c:numCache>
                <c:formatCode>General</c:formatCode>
                <c:ptCount val="257"/>
                <c:pt idx="86">
                  <c:v>88.772655491259712</c:v>
                </c:pt>
                <c:pt idx="87">
                  <c:v>88.772655491259712</c:v>
                </c:pt>
                <c:pt idx="88">
                  <c:v>88.772655491259712</c:v>
                </c:pt>
                <c:pt idx="89">
                  <c:v>88.772655491259712</c:v>
                </c:pt>
                <c:pt idx="90">
                  <c:v>88.386552387351969</c:v>
                </c:pt>
                <c:pt idx="91">
                  <c:v>88.386552387351969</c:v>
                </c:pt>
                <c:pt idx="92">
                  <c:v>88.186867969219946</c:v>
                </c:pt>
                <c:pt idx="93">
                  <c:v>88.186867969219946</c:v>
                </c:pt>
                <c:pt idx="94">
                  <c:v>88.186867969219946</c:v>
                </c:pt>
                <c:pt idx="95">
                  <c:v>88.186867969219946</c:v>
                </c:pt>
                <c:pt idx="96">
                  <c:v>87.982484665586242</c:v>
                </c:pt>
                <c:pt idx="97">
                  <c:v>87.982484665586242</c:v>
                </c:pt>
                <c:pt idx="98">
                  <c:v>87.982484665586242</c:v>
                </c:pt>
                <c:pt idx="99">
                  <c:v>87.982484665586242</c:v>
                </c:pt>
                <c:pt idx="100">
                  <c:v>88.186867969219946</c:v>
                </c:pt>
                <c:pt idx="101">
                  <c:v>88.246867969219949</c:v>
                </c:pt>
                <c:pt idx="102">
                  <c:v>88.486552387351963</c:v>
                </c:pt>
                <c:pt idx="103">
                  <c:v>88.486552387351963</c:v>
                </c:pt>
                <c:pt idx="104">
                  <c:v>88.486552387351963</c:v>
                </c:pt>
                <c:pt idx="105">
                  <c:v>88.486552387351963</c:v>
                </c:pt>
                <c:pt idx="106">
                  <c:v>88.486552387351963</c:v>
                </c:pt>
                <c:pt idx="107">
                  <c:v>88.486552387351963</c:v>
                </c:pt>
                <c:pt idx="108">
                  <c:v>88.486552387351963</c:v>
                </c:pt>
                <c:pt idx="109">
                  <c:v>88.486552387351963</c:v>
                </c:pt>
                <c:pt idx="110">
                  <c:v>88.486552387351963</c:v>
                </c:pt>
                <c:pt idx="111">
                  <c:v>88.486552387351963</c:v>
                </c:pt>
                <c:pt idx="112">
                  <c:v>88.681749133135099</c:v>
                </c:pt>
                <c:pt idx="113">
                  <c:v>88.6967491331351</c:v>
                </c:pt>
                <c:pt idx="114">
                  <c:v>88.755749133135112</c:v>
                </c:pt>
                <c:pt idx="115">
                  <c:v>88.972655491259715</c:v>
                </c:pt>
                <c:pt idx="116">
                  <c:v>89.15945601634256</c:v>
                </c:pt>
                <c:pt idx="117">
                  <c:v>89.342323605139953</c:v>
                </c:pt>
                <c:pt idx="118">
                  <c:v>89.342323605139953</c:v>
                </c:pt>
                <c:pt idx="119">
                  <c:v>89.521420458198506</c:v>
                </c:pt>
                <c:pt idx="120">
                  <c:v>89.696898944348604</c:v>
                </c:pt>
                <c:pt idx="121">
                  <c:v>89.868902379586942</c:v>
                </c:pt>
                <c:pt idx="122">
                  <c:v>89.868902379586942</c:v>
                </c:pt>
                <c:pt idx="123">
                  <c:v>90.203016249644008</c:v>
                </c:pt>
                <c:pt idx="124">
                  <c:v>90.365374054087582</c:v>
                </c:pt>
                <c:pt idx="125">
                  <c:v>90.681259397752243</c:v>
                </c:pt>
                <c:pt idx="126">
                  <c:v>90.83249597107806</c:v>
                </c:pt>
                <c:pt idx="127">
                  <c:v>90.942058728886963</c:v>
                </c:pt>
                <c:pt idx="128">
                  <c:v>91.048039090471107</c:v>
                </c:pt>
                <c:pt idx="129">
                  <c:v>91.180523865301097</c:v>
                </c:pt>
                <c:pt idx="130">
                  <c:v>91.324095557843563</c:v>
                </c:pt>
                <c:pt idx="131">
                  <c:v>91.44533264759329</c:v>
                </c:pt>
                <c:pt idx="132">
                  <c:v>91.39783264759329</c:v>
                </c:pt>
                <c:pt idx="133">
                  <c:v>91.352532647593293</c:v>
                </c:pt>
                <c:pt idx="134">
                  <c:v>91.312932647593286</c:v>
                </c:pt>
                <c:pt idx="135">
                  <c:v>91.130895557843573</c:v>
                </c:pt>
                <c:pt idx="136">
                  <c:v>91.124095557843575</c:v>
                </c:pt>
                <c:pt idx="137">
                  <c:v>90.980523865301109</c:v>
                </c:pt>
                <c:pt idx="138">
                  <c:v>90.8573390904711</c:v>
                </c:pt>
                <c:pt idx="139">
                  <c:v>90.902539090471109</c:v>
                </c:pt>
                <c:pt idx="140">
                  <c:v>90.786058728886957</c:v>
                </c:pt>
                <c:pt idx="141">
                  <c:v>90.48125939775224</c:v>
                </c:pt>
                <c:pt idx="142">
                  <c:v>90.48125939775224</c:v>
                </c:pt>
                <c:pt idx="143">
                  <c:v>90.48125939775224</c:v>
                </c:pt>
                <c:pt idx="144">
                  <c:v>90.48125939775224</c:v>
                </c:pt>
                <c:pt idx="145">
                  <c:v>90.634995971078055</c:v>
                </c:pt>
                <c:pt idx="146">
                  <c:v>90.786058728886957</c:v>
                </c:pt>
                <c:pt idx="147">
                  <c:v>91.080523865301103</c:v>
                </c:pt>
                <c:pt idx="148">
                  <c:v>91.365332647593291</c:v>
                </c:pt>
                <c:pt idx="149">
                  <c:v>91.479166989556987</c:v>
                </c:pt>
                <c:pt idx="150">
                  <c:v>91.527955480163115</c:v>
                </c:pt>
                <c:pt idx="151">
                  <c:v>91.708377568465593</c:v>
                </c:pt>
                <c:pt idx="152">
                  <c:v>91.708377568465593</c:v>
                </c:pt>
                <c:pt idx="153">
                  <c:v>91.967677111752948</c:v>
                </c:pt>
                <c:pt idx="154">
                  <c:v>91.993677111752945</c:v>
                </c:pt>
                <c:pt idx="155">
                  <c:v>92.037427111752947</c:v>
                </c:pt>
                <c:pt idx="156">
                  <c:v>91.938994911644755</c:v>
                </c:pt>
                <c:pt idx="157">
                  <c:v>91.938994911644755</c:v>
                </c:pt>
                <c:pt idx="158">
                  <c:v>91.808377568465602</c:v>
                </c:pt>
                <c:pt idx="159">
                  <c:v>91.808377568465602</c:v>
                </c:pt>
                <c:pt idx="160">
                  <c:v>91.808377568465602</c:v>
                </c:pt>
                <c:pt idx="161">
                  <c:v>91.771177568465589</c:v>
                </c:pt>
                <c:pt idx="162">
                  <c:v>91.987877111752951</c:v>
                </c:pt>
                <c:pt idx="163">
                  <c:v>92.219459657913362</c:v>
                </c:pt>
                <c:pt idx="164">
                  <c:v>92.464148786253574</c:v>
                </c:pt>
                <c:pt idx="165">
                  <c:v>92.464148786253574</c:v>
                </c:pt>
                <c:pt idx="166">
                  <c:v>91.838994911644747</c:v>
                </c:pt>
                <c:pt idx="167">
                  <c:v>91.441098337305974</c:v>
                </c:pt>
                <c:pt idx="168">
                  <c:v>90.835614774392013</c:v>
                </c:pt>
                <c:pt idx="169">
                  <c:v>90.189986670479513</c:v>
                </c:pt>
                <c:pt idx="170">
                  <c:v>89.501565730324202</c:v>
                </c:pt>
                <c:pt idx="171">
                  <c:v>89.288902379586943</c:v>
                </c:pt>
                <c:pt idx="172">
                  <c:v>89.121514328963983</c:v>
                </c:pt>
                <c:pt idx="173">
                  <c:v>88.990651227429268</c:v>
                </c:pt>
                <c:pt idx="174">
                  <c:v>89.021420458198506</c:v>
                </c:pt>
                <c:pt idx="175">
                  <c:v>89.196898944348604</c:v>
                </c:pt>
                <c:pt idx="176">
                  <c:v>89.865374054087582</c:v>
                </c:pt>
                <c:pt idx="177">
                  <c:v>90.528725395553622</c:v>
                </c:pt>
                <c:pt idx="178">
                  <c:v>90.86585719863443</c:v>
                </c:pt>
                <c:pt idx="179">
                  <c:v>90.851773865301098</c:v>
                </c:pt>
                <c:pt idx="180">
                  <c:v>90.210009397752245</c:v>
                </c:pt>
                <c:pt idx="181">
                  <c:v>89.261898944348602</c:v>
                </c:pt>
                <c:pt idx="182">
                  <c:v>88.717655491259706</c:v>
                </c:pt>
                <c:pt idx="183">
                  <c:v>89.059456016342551</c:v>
                </c:pt>
                <c:pt idx="184">
                  <c:v>89.421420458198497</c:v>
                </c:pt>
                <c:pt idx="185">
                  <c:v>89.242323605139944</c:v>
                </c:pt>
                <c:pt idx="186">
                  <c:v>88.835813385996559</c:v>
                </c:pt>
                <c:pt idx="187">
                  <c:v>88.205815337640999</c:v>
                </c:pt>
                <c:pt idx="188">
                  <c:v>87.725175992022926</c:v>
                </c:pt>
                <c:pt idx="189">
                  <c:v>87.202790998158221</c:v>
                </c:pt>
                <c:pt idx="190">
                  <c:v>86.65677143420622</c:v>
                </c:pt>
                <c:pt idx="191">
                  <c:v>86.084574030348023</c:v>
                </c:pt>
                <c:pt idx="192">
                  <c:v>85.741859807168979</c:v>
                </c:pt>
                <c:pt idx="193">
                  <c:v>85.614033720212461</c:v>
                </c:pt>
                <c:pt idx="194">
                  <c:v>85.483598937603759</c:v>
                </c:pt>
                <c:pt idx="195">
                  <c:v>85.187777655185968</c:v>
                </c:pt>
                <c:pt idx="196">
                  <c:v>84.920498424026349</c:v>
                </c:pt>
                <c:pt idx="197">
                  <c:v>84.339123952021481</c:v>
                </c:pt>
                <c:pt idx="198">
                  <c:v>84.295123952021484</c:v>
                </c:pt>
                <c:pt idx="199">
                  <c:v>85.077777655185969</c:v>
                </c:pt>
                <c:pt idx="200">
                  <c:v>86.261027932821577</c:v>
                </c:pt>
                <c:pt idx="201">
                  <c:v>86.217456504250137</c:v>
                </c:pt>
                <c:pt idx="202">
                  <c:v>86.542836615221958</c:v>
                </c:pt>
                <c:pt idx="203">
                  <c:v>88.34862308227963</c:v>
                </c:pt>
                <c:pt idx="204">
                  <c:v>89.825857198634438</c:v>
                </c:pt>
                <c:pt idx="205">
                  <c:v>90.295765003972647</c:v>
                </c:pt>
                <c:pt idx="206">
                  <c:v>89.369089031917255</c:v>
                </c:pt>
                <c:pt idx="207">
                  <c:v>88.036292883742547</c:v>
                </c:pt>
                <c:pt idx="208">
                  <c:v>86.877409530209107</c:v>
                </c:pt>
                <c:pt idx="209">
                  <c:v>85.517170789964425</c:v>
                </c:pt>
                <c:pt idx="210">
                  <c:v>84.463077198473329</c:v>
                </c:pt>
                <c:pt idx="211">
                  <c:v>82.081830681909452</c:v>
                </c:pt>
                <c:pt idx="212">
                  <c:v>79.758639311448391</c:v>
                </c:pt>
                <c:pt idx="213">
                  <c:v>78.845948959694326</c:v>
                </c:pt>
              </c:numCache>
            </c:numRef>
          </c:yVal>
        </c:ser>
        <c:axId val="97906688"/>
        <c:axId val="99967360"/>
      </c:scatterChart>
      <c:valAx>
        <c:axId val="97906688"/>
        <c:scaling>
          <c:logBase val="10"/>
          <c:orientation val="minMax"/>
          <c:max val="3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9196528508552009"/>
              <c:y val="0.86535688247302911"/>
            </c:manualLayout>
          </c:layout>
        </c:title>
        <c:numFmt formatCode="General" sourceLinked="1"/>
        <c:tickLblPos val="nextTo"/>
        <c:crossAx val="99967360"/>
        <c:crossesAt val="-30"/>
        <c:crossBetween val="midCat"/>
      </c:valAx>
      <c:valAx>
        <c:axId val="99967360"/>
        <c:scaling>
          <c:orientation val="minMax"/>
          <c:max val="100"/>
          <c:min val="6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[dB]</a:t>
                </a:r>
              </a:p>
            </c:rich>
          </c:tx>
          <c:layout>
            <c:manualLayout>
              <c:xMode val="edge"/>
              <c:yMode val="edge"/>
              <c:x val="0"/>
              <c:y val="6.4734450561686724E-2"/>
            </c:manualLayout>
          </c:layout>
        </c:title>
        <c:numFmt formatCode="General" sourceLinked="1"/>
        <c:tickLblPos val="nextTo"/>
        <c:crossAx val="97906688"/>
        <c:crosses val="autoZero"/>
        <c:crossBetween val="midCat"/>
        <c:majorUnit val="5"/>
      </c:valAx>
    </c:plotArea>
    <c:legend>
      <c:legendPos val="b"/>
      <c:layout>
        <c:manualLayout>
          <c:xMode val="edge"/>
          <c:yMode val="edge"/>
          <c:x val="0.11378472305190616"/>
          <c:y val="0.91628280839894949"/>
          <c:w val="0.77243055389618975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5057643111066968"/>
          <c:y val="5.1400554097404488E-2"/>
          <c:w val="0.78640247184291034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'WS20E-4'!$I$17</c:f>
              <c:strCache>
                <c:ptCount val="1"/>
                <c:pt idx="0">
                  <c:v>WS20E-4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'WS20E-4'!$B$18:$B$274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'WS20E-4'!$J$18:$J$274</c:f>
              <c:numCache>
                <c:formatCode>General</c:formatCode>
                <c:ptCount val="257"/>
                <c:pt idx="0">
                  <c:v>-113.7</c:v>
                </c:pt>
                <c:pt idx="1">
                  <c:v>-114.4</c:v>
                </c:pt>
                <c:pt idx="2">
                  <c:v>-115.1</c:v>
                </c:pt>
                <c:pt idx="3">
                  <c:v>-115.9</c:v>
                </c:pt>
                <c:pt idx="4">
                  <c:v>-116.7</c:v>
                </c:pt>
                <c:pt idx="5">
                  <c:v>-117.6</c:v>
                </c:pt>
                <c:pt idx="6">
                  <c:v>-118.4</c:v>
                </c:pt>
                <c:pt idx="7">
                  <c:v>-119.4</c:v>
                </c:pt>
                <c:pt idx="8">
                  <c:v>-120.3</c:v>
                </c:pt>
                <c:pt idx="9">
                  <c:v>-121.3</c:v>
                </c:pt>
                <c:pt idx="10">
                  <c:v>-122.3</c:v>
                </c:pt>
                <c:pt idx="11">
                  <c:v>-123.4</c:v>
                </c:pt>
                <c:pt idx="12">
                  <c:v>-124.6</c:v>
                </c:pt>
                <c:pt idx="13">
                  <c:v>-125.8</c:v>
                </c:pt>
                <c:pt idx="14">
                  <c:v>-127</c:v>
                </c:pt>
                <c:pt idx="15">
                  <c:v>-128.4</c:v>
                </c:pt>
                <c:pt idx="16">
                  <c:v>-129.80000000000001</c:v>
                </c:pt>
                <c:pt idx="17">
                  <c:v>-131.19999999999999</c:v>
                </c:pt>
                <c:pt idx="18">
                  <c:v>-132.80000000000001</c:v>
                </c:pt>
                <c:pt idx="19">
                  <c:v>-134.5</c:v>
                </c:pt>
                <c:pt idx="20">
                  <c:v>-136.30000000000001</c:v>
                </c:pt>
                <c:pt idx="21">
                  <c:v>-138.19999999999999</c:v>
                </c:pt>
                <c:pt idx="22">
                  <c:v>-140.19999999999999</c:v>
                </c:pt>
                <c:pt idx="23">
                  <c:v>-142.4</c:v>
                </c:pt>
                <c:pt idx="24">
                  <c:v>-144.80000000000001</c:v>
                </c:pt>
                <c:pt idx="25">
                  <c:v>-147.4</c:v>
                </c:pt>
                <c:pt idx="26">
                  <c:v>-150.19999999999999</c:v>
                </c:pt>
                <c:pt idx="27">
                  <c:v>-153.19999999999999</c:v>
                </c:pt>
                <c:pt idx="28">
                  <c:v>-156.5</c:v>
                </c:pt>
                <c:pt idx="29">
                  <c:v>-160.19999999999999</c:v>
                </c:pt>
                <c:pt idx="30">
                  <c:v>-164.1</c:v>
                </c:pt>
                <c:pt idx="31">
                  <c:v>-168.5</c:v>
                </c:pt>
                <c:pt idx="32">
                  <c:v>-173.3</c:v>
                </c:pt>
                <c:pt idx="33">
                  <c:v>-178.4</c:v>
                </c:pt>
                <c:pt idx="34">
                  <c:v>175.96</c:v>
                </c:pt>
                <c:pt idx="35">
                  <c:v>169.95</c:v>
                </c:pt>
                <c:pt idx="36">
                  <c:v>163.6</c:v>
                </c:pt>
                <c:pt idx="37">
                  <c:v>156.99</c:v>
                </c:pt>
                <c:pt idx="38">
                  <c:v>150.24</c:v>
                </c:pt>
                <c:pt idx="39">
                  <c:v>143.47</c:v>
                </c:pt>
                <c:pt idx="40">
                  <c:v>136.83000000000001</c:v>
                </c:pt>
                <c:pt idx="41">
                  <c:v>130.43</c:v>
                </c:pt>
                <c:pt idx="42">
                  <c:v>124.36</c:v>
                </c:pt>
                <c:pt idx="43">
                  <c:v>118.67</c:v>
                </c:pt>
                <c:pt idx="44">
                  <c:v>113.4</c:v>
                </c:pt>
                <c:pt idx="45">
                  <c:v>108.53</c:v>
                </c:pt>
                <c:pt idx="46">
                  <c:v>104.05</c:v>
                </c:pt>
                <c:pt idx="47">
                  <c:v>99.936000000000007</c:v>
                </c:pt>
                <c:pt idx="48">
                  <c:v>96.144999999999996</c:v>
                </c:pt>
                <c:pt idx="49">
                  <c:v>92.623000000000005</c:v>
                </c:pt>
                <c:pt idx="50">
                  <c:v>89.334999999999994</c:v>
                </c:pt>
                <c:pt idx="51">
                  <c:v>86.287000000000006</c:v>
                </c:pt>
                <c:pt idx="52">
                  <c:v>83.472999999999999</c:v>
                </c:pt>
                <c:pt idx="53">
                  <c:v>80.855000000000004</c:v>
                </c:pt>
                <c:pt idx="54">
                  <c:v>78.438000000000002</c:v>
                </c:pt>
                <c:pt idx="55">
                  <c:v>76.245000000000005</c:v>
                </c:pt>
                <c:pt idx="56">
                  <c:v>74.242999999999995</c:v>
                </c:pt>
                <c:pt idx="57">
                  <c:v>72.369</c:v>
                </c:pt>
                <c:pt idx="58">
                  <c:v>70.575999999999993</c:v>
                </c:pt>
                <c:pt idx="59">
                  <c:v>68.814999999999998</c:v>
                </c:pt>
                <c:pt idx="60">
                  <c:v>67.042000000000002</c:v>
                </c:pt>
                <c:pt idx="61">
                  <c:v>65.268000000000001</c:v>
                </c:pt>
                <c:pt idx="62">
                  <c:v>63.543999999999997</c:v>
                </c:pt>
                <c:pt idx="63">
                  <c:v>61.811999999999998</c:v>
                </c:pt>
                <c:pt idx="64">
                  <c:v>60.076000000000001</c:v>
                </c:pt>
                <c:pt idx="65">
                  <c:v>58.456000000000003</c:v>
                </c:pt>
                <c:pt idx="66">
                  <c:v>56.808999999999997</c:v>
                </c:pt>
                <c:pt idx="67">
                  <c:v>54.982999999999997</c:v>
                </c:pt>
                <c:pt idx="68">
                  <c:v>53.122</c:v>
                </c:pt>
                <c:pt idx="69">
                  <c:v>51.252000000000002</c:v>
                </c:pt>
                <c:pt idx="70">
                  <c:v>49.337000000000003</c:v>
                </c:pt>
                <c:pt idx="71">
                  <c:v>47.53</c:v>
                </c:pt>
                <c:pt idx="72">
                  <c:v>45.881999999999998</c:v>
                </c:pt>
                <c:pt idx="73">
                  <c:v>44.484999999999999</c:v>
                </c:pt>
                <c:pt idx="74">
                  <c:v>43.505000000000003</c:v>
                </c:pt>
                <c:pt idx="75">
                  <c:v>42.753</c:v>
                </c:pt>
                <c:pt idx="76">
                  <c:v>41.991999999999997</c:v>
                </c:pt>
                <c:pt idx="77">
                  <c:v>41.22</c:v>
                </c:pt>
                <c:pt idx="78">
                  <c:v>40.322000000000003</c:v>
                </c:pt>
                <c:pt idx="79">
                  <c:v>39.311</c:v>
                </c:pt>
                <c:pt idx="80">
                  <c:v>38.493000000000002</c:v>
                </c:pt>
                <c:pt idx="81">
                  <c:v>37.756</c:v>
                </c:pt>
                <c:pt idx="82">
                  <c:v>37.055</c:v>
                </c:pt>
                <c:pt idx="83">
                  <c:v>36.786999999999999</c:v>
                </c:pt>
                <c:pt idx="84">
                  <c:v>37.136000000000003</c:v>
                </c:pt>
                <c:pt idx="85">
                  <c:v>37.401000000000003</c:v>
                </c:pt>
                <c:pt idx="86">
                  <c:v>37.744999999999997</c:v>
                </c:pt>
                <c:pt idx="87">
                  <c:v>37.575000000000003</c:v>
                </c:pt>
                <c:pt idx="88">
                  <c:v>36.656999999999996</c:v>
                </c:pt>
                <c:pt idx="89">
                  <c:v>35.198</c:v>
                </c:pt>
                <c:pt idx="90">
                  <c:v>33.734999999999999</c:v>
                </c:pt>
                <c:pt idx="91">
                  <c:v>32.441000000000003</c:v>
                </c:pt>
                <c:pt idx="92">
                  <c:v>31.041</c:v>
                </c:pt>
                <c:pt idx="93">
                  <c:v>29.524000000000001</c:v>
                </c:pt>
                <c:pt idx="94">
                  <c:v>28.46</c:v>
                </c:pt>
                <c:pt idx="95">
                  <c:v>28.289000000000001</c:v>
                </c:pt>
                <c:pt idx="96">
                  <c:v>28.73</c:v>
                </c:pt>
                <c:pt idx="97">
                  <c:v>29.167000000000002</c:v>
                </c:pt>
                <c:pt idx="98">
                  <c:v>29.337</c:v>
                </c:pt>
                <c:pt idx="99">
                  <c:v>29.395</c:v>
                </c:pt>
                <c:pt idx="100">
                  <c:v>29.097000000000001</c:v>
                </c:pt>
                <c:pt idx="101">
                  <c:v>27.95</c:v>
                </c:pt>
                <c:pt idx="102">
                  <c:v>26.471</c:v>
                </c:pt>
                <c:pt idx="103">
                  <c:v>24.943000000000001</c:v>
                </c:pt>
                <c:pt idx="104">
                  <c:v>22.762</c:v>
                </c:pt>
                <c:pt idx="105">
                  <c:v>20.135999999999999</c:v>
                </c:pt>
                <c:pt idx="106">
                  <c:v>17.273</c:v>
                </c:pt>
                <c:pt idx="107">
                  <c:v>14.656000000000001</c:v>
                </c:pt>
                <c:pt idx="108">
                  <c:v>13.122</c:v>
                </c:pt>
                <c:pt idx="109">
                  <c:v>11.321999999999999</c:v>
                </c:pt>
                <c:pt idx="110">
                  <c:v>8.4549000000000003</c:v>
                </c:pt>
                <c:pt idx="111">
                  <c:v>-0.73199999999999998</c:v>
                </c:pt>
                <c:pt idx="112">
                  <c:v>-13.74</c:v>
                </c:pt>
                <c:pt idx="113">
                  <c:v>-14.34</c:v>
                </c:pt>
                <c:pt idx="114">
                  <c:v>-7.8049999999999997</c:v>
                </c:pt>
                <c:pt idx="115">
                  <c:v>-6.375</c:v>
                </c:pt>
                <c:pt idx="116">
                  <c:v>-7.5789999999999997</c:v>
                </c:pt>
                <c:pt idx="117">
                  <c:v>-9.3550000000000004</c:v>
                </c:pt>
                <c:pt idx="118">
                  <c:v>-11.86</c:v>
                </c:pt>
                <c:pt idx="119">
                  <c:v>-14.33</c:v>
                </c:pt>
                <c:pt idx="120">
                  <c:v>-15.53</c:v>
                </c:pt>
                <c:pt idx="121">
                  <c:v>-15.01</c:v>
                </c:pt>
                <c:pt idx="122">
                  <c:v>-13.21</c:v>
                </c:pt>
                <c:pt idx="123">
                  <c:v>-11.05</c:v>
                </c:pt>
                <c:pt idx="124">
                  <c:v>-9.74</c:v>
                </c:pt>
                <c:pt idx="125">
                  <c:v>-10.61</c:v>
                </c:pt>
                <c:pt idx="126">
                  <c:v>-13.16</c:v>
                </c:pt>
                <c:pt idx="127">
                  <c:v>-15.89</c:v>
                </c:pt>
                <c:pt idx="128">
                  <c:v>-17.02</c:v>
                </c:pt>
                <c:pt idx="129">
                  <c:v>-17.760000000000002</c:v>
                </c:pt>
                <c:pt idx="130">
                  <c:v>-19.309999999999999</c:v>
                </c:pt>
                <c:pt idx="131">
                  <c:v>-21.24</c:v>
                </c:pt>
                <c:pt idx="132">
                  <c:v>-23.18</c:v>
                </c:pt>
                <c:pt idx="133">
                  <c:v>-23.67</c:v>
                </c:pt>
                <c:pt idx="134">
                  <c:v>-23.3</c:v>
                </c:pt>
                <c:pt idx="135">
                  <c:v>-23.89</c:v>
                </c:pt>
                <c:pt idx="136">
                  <c:v>-24.79</c:v>
                </c:pt>
                <c:pt idx="137">
                  <c:v>-25.76</c:v>
                </c:pt>
                <c:pt idx="138">
                  <c:v>-27.65</c:v>
                </c:pt>
                <c:pt idx="139">
                  <c:v>-29.33</c:v>
                </c:pt>
                <c:pt idx="140">
                  <c:v>-30.93</c:v>
                </c:pt>
                <c:pt idx="141">
                  <c:v>-30.64</c:v>
                </c:pt>
                <c:pt idx="142">
                  <c:v>-28.07</c:v>
                </c:pt>
                <c:pt idx="143">
                  <c:v>-26.01</c:v>
                </c:pt>
                <c:pt idx="144">
                  <c:v>-27.23</c:v>
                </c:pt>
                <c:pt idx="145">
                  <c:v>-29.5</c:v>
                </c:pt>
                <c:pt idx="146">
                  <c:v>-30.92</c:v>
                </c:pt>
                <c:pt idx="147">
                  <c:v>-32.549999999999997</c:v>
                </c:pt>
                <c:pt idx="148">
                  <c:v>-34.119999999999997</c:v>
                </c:pt>
                <c:pt idx="149">
                  <c:v>-35.729999999999997</c:v>
                </c:pt>
                <c:pt idx="150">
                  <c:v>-37.08</c:v>
                </c:pt>
                <c:pt idx="151">
                  <c:v>-40.049999999999997</c:v>
                </c:pt>
                <c:pt idx="152">
                  <c:v>-43.06</c:v>
                </c:pt>
                <c:pt idx="153">
                  <c:v>-45.15</c:v>
                </c:pt>
                <c:pt idx="154">
                  <c:v>-47.46</c:v>
                </c:pt>
                <c:pt idx="155">
                  <c:v>-50.31</c:v>
                </c:pt>
                <c:pt idx="156">
                  <c:v>-53.63</c:v>
                </c:pt>
                <c:pt idx="157">
                  <c:v>-55.85</c:v>
                </c:pt>
                <c:pt idx="158">
                  <c:v>-57.07</c:v>
                </c:pt>
                <c:pt idx="159">
                  <c:v>-58</c:v>
                </c:pt>
                <c:pt idx="160">
                  <c:v>-58.74</c:v>
                </c:pt>
                <c:pt idx="161">
                  <c:v>-57.86</c:v>
                </c:pt>
                <c:pt idx="162">
                  <c:v>-56.18</c:v>
                </c:pt>
                <c:pt idx="163">
                  <c:v>-55.57</c:v>
                </c:pt>
                <c:pt idx="164">
                  <c:v>-57.13</c:v>
                </c:pt>
                <c:pt idx="165">
                  <c:v>-61.09</c:v>
                </c:pt>
                <c:pt idx="166">
                  <c:v>-66.16</c:v>
                </c:pt>
                <c:pt idx="167">
                  <c:v>-69.75</c:v>
                </c:pt>
                <c:pt idx="168">
                  <c:v>-71.150000000000006</c:v>
                </c:pt>
                <c:pt idx="169">
                  <c:v>-73.11</c:v>
                </c:pt>
                <c:pt idx="170">
                  <c:v>-75.37</c:v>
                </c:pt>
                <c:pt idx="171">
                  <c:v>-74.63</c:v>
                </c:pt>
                <c:pt idx="172">
                  <c:v>-72.540000000000006</c:v>
                </c:pt>
                <c:pt idx="173">
                  <c:v>-72.819999999999993</c:v>
                </c:pt>
                <c:pt idx="174">
                  <c:v>-75.19</c:v>
                </c:pt>
                <c:pt idx="175">
                  <c:v>-77.900000000000006</c:v>
                </c:pt>
                <c:pt idx="176">
                  <c:v>-82.75</c:v>
                </c:pt>
                <c:pt idx="177">
                  <c:v>-91.16</c:v>
                </c:pt>
                <c:pt idx="178">
                  <c:v>-99.09</c:v>
                </c:pt>
                <c:pt idx="179">
                  <c:v>-102.8</c:v>
                </c:pt>
                <c:pt idx="180">
                  <c:v>-104.1</c:v>
                </c:pt>
                <c:pt idx="181">
                  <c:v>-106</c:v>
                </c:pt>
                <c:pt idx="182">
                  <c:v>-108.1</c:v>
                </c:pt>
                <c:pt idx="183">
                  <c:v>-110.7</c:v>
                </c:pt>
                <c:pt idx="184">
                  <c:v>-114</c:v>
                </c:pt>
                <c:pt idx="185">
                  <c:v>-116.9</c:v>
                </c:pt>
                <c:pt idx="186">
                  <c:v>-118.5</c:v>
                </c:pt>
                <c:pt idx="187">
                  <c:v>-117.2</c:v>
                </c:pt>
                <c:pt idx="188">
                  <c:v>-114.5</c:v>
                </c:pt>
                <c:pt idx="189">
                  <c:v>-115.3</c:v>
                </c:pt>
                <c:pt idx="190">
                  <c:v>-123.1</c:v>
                </c:pt>
                <c:pt idx="191">
                  <c:v>-137.9</c:v>
                </c:pt>
                <c:pt idx="192">
                  <c:v>-153.30000000000001</c:v>
                </c:pt>
                <c:pt idx="193">
                  <c:v>-160.69999999999999</c:v>
                </c:pt>
                <c:pt idx="194">
                  <c:v>-161.19999999999999</c:v>
                </c:pt>
                <c:pt idx="195">
                  <c:v>-158.9</c:v>
                </c:pt>
                <c:pt idx="196">
                  <c:v>-153.1</c:v>
                </c:pt>
                <c:pt idx="197">
                  <c:v>-148.5</c:v>
                </c:pt>
                <c:pt idx="198">
                  <c:v>-152.30000000000001</c:v>
                </c:pt>
                <c:pt idx="199">
                  <c:v>-162.4</c:v>
                </c:pt>
                <c:pt idx="200">
                  <c:v>-171.9</c:v>
                </c:pt>
                <c:pt idx="201">
                  <c:v>-179.9</c:v>
                </c:pt>
                <c:pt idx="202">
                  <c:v>170.13</c:v>
                </c:pt>
                <c:pt idx="203">
                  <c:v>157.65</c:v>
                </c:pt>
                <c:pt idx="204">
                  <c:v>143.05000000000001</c:v>
                </c:pt>
                <c:pt idx="205">
                  <c:v>127.37</c:v>
                </c:pt>
                <c:pt idx="206">
                  <c:v>111.69</c:v>
                </c:pt>
                <c:pt idx="207">
                  <c:v>95.661000000000001</c:v>
                </c:pt>
                <c:pt idx="208">
                  <c:v>81.98</c:v>
                </c:pt>
                <c:pt idx="209">
                  <c:v>73.766000000000005</c:v>
                </c:pt>
                <c:pt idx="210">
                  <c:v>70.991</c:v>
                </c:pt>
                <c:pt idx="211">
                  <c:v>72.007000000000005</c:v>
                </c:pt>
                <c:pt idx="212">
                  <c:v>76.134</c:v>
                </c:pt>
                <c:pt idx="213">
                  <c:v>85.727999999999994</c:v>
                </c:pt>
                <c:pt idx="214">
                  <c:v>98.025999999999996</c:v>
                </c:pt>
                <c:pt idx="215">
                  <c:v>101.94</c:v>
                </c:pt>
                <c:pt idx="216">
                  <c:v>91.028999999999996</c:v>
                </c:pt>
                <c:pt idx="217">
                  <c:v>71.238</c:v>
                </c:pt>
                <c:pt idx="218">
                  <c:v>57.567999999999998</c:v>
                </c:pt>
                <c:pt idx="219">
                  <c:v>55.862000000000002</c:v>
                </c:pt>
                <c:pt idx="220">
                  <c:v>53.136000000000003</c:v>
                </c:pt>
                <c:pt idx="221">
                  <c:v>40.976999999999997</c:v>
                </c:pt>
                <c:pt idx="222">
                  <c:v>25.088999999999999</c:v>
                </c:pt>
                <c:pt idx="223">
                  <c:v>3.4049</c:v>
                </c:pt>
                <c:pt idx="224">
                  <c:v>-25.18</c:v>
                </c:pt>
                <c:pt idx="225">
                  <c:v>-47.3</c:v>
                </c:pt>
                <c:pt idx="226">
                  <c:v>-52.53</c:v>
                </c:pt>
                <c:pt idx="227">
                  <c:v>-48.48</c:v>
                </c:pt>
                <c:pt idx="228">
                  <c:v>-50.95</c:v>
                </c:pt>
                <c:pt idx="229">
                  <c:v>-58.35</c:v>
                </c:pt>
                <c:pt idx="230">
                  <c:v>-61.26</c:v>
                </c:pt>
                <c:pt idx="231">
                  <c:v>-64.650000000000006</c:v>
                </c:pt>
                <c:pt idx="232">
                  <c:v>-76.47</c:v>
                </c:pt>
                <c:pt idx="233">
                  <c:v>-87.83</c:v>
                </c:pt>
                <c:pt idx="234">
                  <c:v>-87.34</c:v>
                </c:pt>
                <c:pt idx="235">
                  <c:v>-80.31</c:v>
                </c:pt>
                <c:pt idx="236">
                  <c:v>-77.87</c:v>
                </c:pt>
                <c:pt idx="237">
                  <c:v>-82.38</c:v>
                </c:pt>
                <c:pt idx="238">
                  <c:v>-83.74</c:v>
                </c:pt>
                <c:pt idx="239">
                  <c:v>-70.959999999999994</c:v>
                </c:pt>
                <c:pt idx="240">
                  <c:v>-57.25</c:v>
                </c:pt>
                <c:pt idx="241">
                  <c:v>-69.58</c:v>
                </c:pt>
                <c:pt idx="242">
                  <c:v>-113.3</c:v>
                </c:pt>
                <c:pt idx="243">
                  <c:v>-171.4</c:v>
                </c:pt>
                <c:pt idx="244">
                  <c:v>141.11000000000001</c:v>
                </c:pt>
                <c:pt idx="245">
                  <c:v>112.96</c:v>
                </c:pt>
                <c:pt idx="246">
                  <c:v>78.751000000000005</c:v>
                </c:pt>
                <c:pt idx="247">
                  <c:v>31.721</c:v>
                </c:pt>
                <c:pt idx="248">
                  <c:v>-11.7</c:v>
                </c:pt>
                <c:pt idx="249">
                  <c:v>-59.16</c:v>
                </c:pt>
                <c:pt idx="250">
                  <c:v>-104.5</c:v>
                </c:pt>
                <c:pt idx="251">
                  <c:v>-135.4</c:v>
                </c:pt>
                <c:pt idx="252">
                  <c:v>-163.4</c:v>
                </c:pt>
                <c:pt idx="253">
                  <c:v>149.69</c:v>
                </c:pt>
                <c:pt idx="254">
                  <c:v>88.558999999999997</c:v>
                </c:pt>
                <c:pt idx="255">
                  <c:v>31.744</c:v>
                </c:pt>
                <c:pt idx="256">
                  <c:v>-16.14</c:v>
                </c:pt>
              </c:numCache>
            </c:numRef>
          </c:yVal>
        </c:ser>
        <c:ser>
          <c:idx val="0"/>
          <c:order val="1"/>
          <c:tx>
            <c:strRef>
              <c:f>'WS20E-4'!$V$17</c:f>
              <c:strCache>
                <c:ptCount val="1"/>
                <c:pt idx="0">
                  <c:v>WS20E-4 (1)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'WS20E-4'!$B$18:$B$274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'WS20E-4'!$V$18:$V$274</c:f>
              <c:numCache>
                <c:formatCode>General</c:formatCode>
                <c:ptCount val="257"/>
                <c:pt idx="86">
                  <c:v>40.700347773586699</c:v>
                </c:pt>
                <c:pt idx="87">
                  <c:v>41.758788692861764</c:v>
                </c:pt>
                <c:pt idx="88">
                  <c:v>41.033602502110753</c:v>
                </c:pt>
                <c:pt idx="89">
                  <c:v>39.30841631135975</c:v>
                </c:pt>
                <c:pt idx="90">
                  <c:v>37.799603010582814</c:v>
                </c:pt>
                <c:pt idx="91">
                  <c:v>36.507162599780116</c:v>
                </c:pt>
                <c:pt idx="92">
                  <c:v>35.431095078951493</c:v>
                </c:pt>
                <c:pt idx="93">
                  <c:v>34.571400448096945</c:v>
                </c:pt>
                <c:pt idx="94">
                  <c:v>33.928078707216471</c:v>
                </c:pt>
                <c:pt idx="95">
                  <c:v>33.501129856310072</c:v>
                </c:pt>
                <c:pt idx="96">
                  <c:v>33.290553895377911</c:v>
                </c:pt>
                <c:pt idx="97">
                  <c:v>32.079977934445587</c:v>
                </c:pt>
                <c:pt idx="98">
                  <c:v>30.302147753461739</c:v>
                </c:pt>
                <c:pt idx="99">
                  <c:v>28.524317572477571</c:v>
                </c:pt>
                <c:pt idx="100">
                  <c:v>27.179233171441872</c:v>
                </c:pt>
                <c:pt idx="101">
                  <c:v>28.050521660380081</c:v>
                </c:pt>
                <c:pt idx="102">
                  <c:v>30.138183039292521</c:v>
                </c:pt>
                <c:pt idx="103">
                  <c:v>32.442217308179039</c:v>
                </c:pt>
                <c:pt idx="104">
                  <c:v>33.962624467039632</c:v>
                </c:pt>
                <c:pt idx="105">
                  <c:v>33.699404515874306</c:v>
                </c:pt>
                <c:pt idx="106">
                  <c:v>28.868930344657144</c:v>
                </c:pt>
                <c:pt idx="107">
                  <c:v>24.254829063414221</c:v>
                </c:pt>
                <c:pt idx="108">
                  <c:v>20.073473562119446</c:v>
                </c:pt>
                <c:pt idx="109">
                  <c:v>20.892118060824814</c:v>
                </c:pt>
                <c:pt idx="110">
                  <c:v>17.143508339478188</c:v>
                </c:pt>
                <c:pt idx="111">
                  <c:v>13.611271508105638</c:v>
                </c:pt>
                <c:pt idx="112">
                  <c:v>15.511780456681379</c:v>
                </c:pt>
                <c:pt idx="113">
                  <c:v>17.628662295231354</c:v>
                </c:pt>
                <c:pt idx="114">
                  <c:v>15.394662803703412</c:v>
                </c:pt>
                <c:pt idx="115">
                  <c:v>13.160663312175629</c:v>
                </c:pt>
                <c:pt idx="116">
                  <c:v>14.359409600596145</c:v>
                </c:pt>
                <c:pt idx="117">
                  <c:v>14.990901668964653</c:v>
                </c:pt>
                <c:pt idx="118">
                  <c:v>11.838766627307251</c:v>
                </c:pt>
                <c:pt idx="119">
                  <c:v>8.3357502555722363</c:v>
                </c:pt>
                <c:pt idx="120">
                  <c:v>8.0491067738114452</c:v>
                </c:pt>
                <c:pt idx="121">
                  <c:v>8.1952090719988036</c:v>
                </c:pt>
                <c:pt idx="122">
                  <c:v>8.7740571501343112</c:v>
                </c:pt>
                <c:pt idx="123">
                  <c:v>9.7856510082179682</c:v>
                </c:pt>
                <c:pt idx="124">
                  <c:v>6.2299906462499521</c:v>
                </c:pt>
                <c:pt idx="125">
                  <c:v>2.8907031742560108</c:v>
                </c:pt>
                <c:pt idx="126">
                  <c:v>0.20053437218445325</c:v>
                </c:pt>
                <c:pt idx="127">
                  <c:v>-1.8405157599648803</c:v>
                </c:pt>
                <c:pt idx="128">
                  <c:v>-3.4488201121659046</c:v>
                </c:pt>
                <c:pt idx="129">
                  <c:v>-4.6243786844189394</c:v>
                </c:pt>
                <c:pt idx="130">
                  <c:v>-5.3671914767235052</c:v>
                </c:pt>
                <c:pt idx="131">
                  <c:v>-5.6772584890800815</c:v>
                </c:pt>
                <c:pt idx="132">
                  <c:v>-10.121833941540022</c:v>
                </c:pt>
                <c:pt idx="133">
                  <c:v>-14.133663614051972</c:v>
                </c:pt>
                <c:pt idx="134">
                  <c:v>-17.712747506615454</c:v>
                </c:pt>
                <c:pt idx="135">
                  <c:v>-20.642712729256871</c:v>
                </c:pt>
                <c:pt idx="136">
                  <c:v>-22.923559281975745</c:v>
                </c:pt>
                <c:pt idx="137">
                  <c:v>-24.555287164772555</c:v>
                </c:pt>
                <c:pt idx="138">
                  <c:v>-25.53789637764698</c:v>
                </c:pt>
                <c:pt idx="139">
                  <c:v>-26.087759810573097</c:v>
                </c:pt>
                <c:pt idx="140">
                  <c:v>-25.772131683603074</c:v>
                </c:pt>
                <c:pt idx="141">
                  <c:v>-29.591011996736256</c:v>
                </c:pt>
                <c:pt idx="142">
                  <c:v>-32.977146529921285</c:v>
                </c:pt>
                <c:pt idx="143">
                  <c:v>-35.714162393184253</c:v>
                </c:pt>
                <c:pt idx="144">
                  <c:v>-32.369313806576386</c:v>
                </c:pt>
                <c:pt idx="145">
                  <c:v>-28.375346550046618</c:v>
                </c:pt>
                <c:pt idx="146">
                  <c:v>-28.732260623594286</c:v>
                </c:pt>
                <c:pt idx="147">
                  <c:v>-33.007310247271242</c:v>
                </c:pt>
                <c:pt idx="148">
                  <c:v>-31.633241201026152</c:v>
                </c:pt>
                <c:pt idx="149">
                  <c:v>-34.610053484858661</c:v>
                </c:pt>
                <c:pt idx="150">
                  <c:v>-36.288628428846721</c:v>
                </c:pt>
                <c:pt idx="151">
                  <c:v>-42.31808470291206</c:v>
                </c:pt>
                <c:pt idx="152">
                  <c:v>-47.265676527107026</c:v>
                </c:pt>
                <c:pt idx="153">
                  <c:v>-46.34777679140587</c:v>
                </c:pt>
                <c:pt idx="154">
                  <c:v>-44.348012605834022</c:v>
                </c:pt>
                <c:pt idx="155">
                  <c:v>-51.482756860365519</c:v>
                </c:pt>
                <c:pt idx="156">
                  <c:v>-57.535636665026644</c:v>
                </c:pt>
                <c:pt idx="157">
                  <c:v>-57.506652019817253</c:v>
                </c:pt>
                <c:pt idx="158">
                  <c:v>-61.179430034763236</c:v>
                </c:pt>
                <c:pt idx="159">
                  <c:v>-64.203089379787002</c:v>
                </c:pt>
                <c:pt idx="160">
                  <c:v>-65.495765605017837</c:v>
                </c:pt>
                <c:pt idx="161">
                  <c:v>-66.139323160326455</c:v>
                </c:pt>
                <c:pt idx="162">
                  <c:v>-70.051897595842291</c:v>
                </c:pt>
                <c:pt idx="163">
                  <c:v>-73.098980471461203</c:v>
                </c:pt>
                <c:pt idx="164">
                  <c:v>-74.631453117261913</c:v>
                </c:pt>
                <c:pt idx="165">
                  <c:v>-85.082061313192199</c:v>
                </c:pt>
                <c:pt idx="166">
                  <c:v>-93.801686389329262</c:v>
                </c:pt>
                <c:pt idx="167">
                  <c:v>-96.439447015596116</c:v>
                </c:pt>
                <c:pt idx="168">
                  <c:v>-97.562597412043814</c:v>
                </c:pt>
                <c:pt idx="169">
                  <c:v>-102.38751046864721</c:v>
                </c:pt>
                <c:pt idx="170">
                  <c:v>-105.26506751548361</c:v>
                </c:pt>
              </c:numCache>
            </c:numRef>
          </c:yVal>
        </c:ser>
        <c:ser>
          <c:idx val="1"/>
          <c:order val="2"/>
          <c:tx>
            <c:strRef>
              <c:f>'WS20E-4'!$W$17</c:f>
              <c:strCache>
                <c:ptCount val="1"/>
                <c:pt idx="0">
                  <c:v>WS20E-4 (2)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'WS20E-4'!$B$18:$B$274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'WS20E-4'!$W$18:$W$274</c:f>
              <c:numCache>
                <c:formatCode>General</c:formatCode>
                <c:ptCount val="257"/>
                <c:pt idx="86">
                  <c:v>43.700347773586685</c:v>
                </c:pt>
                <c:pt idx="87">
                  <c:v>43.758788692861756</c:v>
                </c:pt>
                <c:pt idx="88">
                  <c:v>43.033602502110746</c:v>
                </c:pt>
                <c:pt idx="89">
                  <c:v>41.308416311359736</c:v>
                </c:pt>
                <c:pt idx="90">
                  <c:v>38.79960301058297</c:v>
                </c:pt>
                <c:pt idx="91">
                  <c:v>37.507162599780116</c:v>
                </c:pt>
                <c:pt idx="92">
                  <c:v>36.431095078951486</c:v>
                </c:pt>
                <c:pt idx="93">
                  <c:v>35.571400448096938</c:v>
                </c:pt>
                <c:pt idx="94">
                  <c:v>34.928078707216471</c:v>
                </c:pt>
                <c:pt idx="95">
                  <c:v>34.501129856310072</c:v>
                </c:pt>
                <c:pt idx="96">
                  <c:v>34.290553895377904</c:v>
                </c:pt>
                <c:pt idx="97">
                  <c:v>34.079977934445736</c:v>
                </c:pt>
                <c:pt idx="98">
                  <c:v>33.302147753461568</c:v>
                </c:pt>
                <c:pt idx="99">
                  <c:v>32.524317572477557</c:v>
                </c:pt>
                <c:pt idx="100">
                  <c:v>32.179233171441851</c:v>
                </c:pt>
                <c:pt idx="101">
                  <c:v>32.05052166038007</c:v>
                </c:pt>
                <c:pt idx="102">
                  <c:v>30.138183039292521</c:v>
                </c:pt>
                <c:pt idx="103">
                  <c:v>29.442217308179046</c:v>
                </c:pt>
                <c:pt idx="104">
                  <c:v>28.962624467039646</c:v>
                </c:pt>
                <c:pt idx="105">
                  <c:v>25.699404515874331</c:v>
                </c:pt>
                <c:pt idx="106">
                  <c:v>21.868930344657169</c:v>
                </c:pt>
                <c:pt idx="107">
                  <c:v>21.254829063414391</c:v>
                </c:pt>
                <c:pt idx="108">
                  <c:v>20.073473562119446</c:v>
                </c:pt>
                <c:pt idx="109">
                  <c:v>19.892118060824657</c:v>
                </c:pt>
                <c:pt idx="110">
                  <c:v>19.143508339478181</c:v>
                </c:pt>
                <c:pt idx="111">
                  <c:v>17.611271508105784</c:v>
                </c:pt>
                <c:pt idx="112">
                  <c:v>17.511780456681372</c:v>
                </c:pt>
                <c:pt idx="113">
                  <c:v>17.628662295231354</c:v>
                </c:pt>
                <c:pt idx="114">
                  <c:v>16.394662803703568</c:v>
                </c:pt>
                <c:pt idx="115">
                  <c:v>16.160663312175778</c:v>
                </c:pt>
                <c:pt idx="116">
                  <c:v>16.359409600596138</c:v>
                </c:pt>
                <c:pt idx="117">
                  <c:v>15.99090166896465</c:v>
                </c:pt>
                <c:pt idx="118">
                  <c:v>14.8387666273074</c:v>
                </c:pt>
                <c:pt idx="119">
                  <c:v>15.335750255572371</c:v>
                </c:pt>
                <c:pt idx="120">
                  <c:v>15.04910677381142</c:v>
                </c:pt>
                <c:pt idx="121">
                  <c:v>13.195209071998786</c:v>
                </c:pt>
                <c:pt idx="122">
                  <c:v>10.774057150134304</c:v>
                </c:pt>
                <c:pt idx="123">
                  <c:v>8.7856510082179717</c:v>
                </c:pt>
                <c:pt idx="124">
                  <c:v>9.2299906462501013</c:v>
                </c:pt>
                <c:pt idx="125">
                  <c:v>7.8907031742561529</c:v>
                </c:pt>
                <c:pt idx="126">
                  <c:v>7.2005343721844284</c:v>
                </c:pt>
                <c:pt idx="127">
                  <c:v>5.1594842400350949</c:v>
                </c:pt>
                <c:pt idx="128">
                  <c:v>2.5511798878340741</c:v>
                </c:pt>
                <c:pt idx="129">
                  <c:v>-0.62437868441895361</c:v>
                </c:pt>
                <c:pt idx="130">
                  <c:v>-3.3671914767235123</c:v>
                </c:pt>
                <c:pt idx="131">
                  <c:v>-5.6772584890800815</c:v>
                </c:pt>
                <c:pt idx="132">
                  <c:v>-8.1218339415400287</c:v>
                </c:pt>
                <c:pt idx="133">
                  <c:v>-10.133663614051986</c:v>
                </c:pt>
                <c:pt idx="134">
                  <c:v>-11.712747506615475</c:v>
                </c:pt>
                <c:pt idx="135">
                  <c:v>-12.6427127292569</c:v>
                </c:pt>
                <c:pt idx="136">
                  <c:v>-15.92355928197577</c:v>
                </c:pt>
                <c:pt idx="137">
                  <c:v>-18.555287164772576</c:v>
                </c:pt>
                <c:pt idx="138">
                  <c:v>-19.537896377647002</c:v>
                </c:pt>
                <c:pt idx="139">
                  <c:v>-20.087759810573118</c:v>
                </c:pt>
                <c:pt idx="140">
                  <c:v>-21.772131683602929</c:v>
                </c:pt>
                <c:pt idx="141">
                  <c:v>-23.591011996736277</c:v>
                </c:pt>
                <c:pt idx="142">
                  <c:v>-24.977146529921317</c:v>
                </c:pt>
                <c:pt idx="143">
                  <c:v>-27.714162393184125</c:v>
                </c:pt>
                <c:pt idx="144">
                  <c:v>-29.3693138065764</c:v>
                </c:pt>
                <c:pt idx="145">
                  <c:v>-30.375346550046611</c:v>
                </c:pt>
                <c:pt idx="146">
                  <c:v>-30.732260623594279</c:v>
                </c:pt>
                <c:pt idx="147">
                  <c:v>-31.007310247271249</c:v>
                </c:pt>
                <c:pt idx="148">
                  <c:v>-31.633241201026152</c:v>
                </c:pt>
                <c:pt idx="149">
                  <c:v>-33.610053484858668</c:v>
                </c:pt>
                <c:pt idx="150">
                  <c:v>-35.288628428846565</c:v>
                </c:pt>
                <c:pt idx="151">
                  <c:v>-39.31808470291223</c:v>
                </c:pt>
                <c:pt idx="152">
                  <c:v>-42.265676527107203</c:v>
                </c:pt>
                <c:pt idx="153">
                  <c:v>-46.34777679140587</c:v>
                </c:pt>
                <c:pt idx="154">
                  <c:v>-49.348012605833844</c:v>
                </c:pt>
                <c:pt idx="155">
                  <c:v>-52.482756860365676</c:v>
                </c:pt>
                <c:pt idx="156">
                  <c:v>-54.535636665026495</c:v>
                </c:pt>
                <c:pt idx="157">
                  <c:v>-57.506652019817253</c:v>
                </c:pt>
                <c:pt idx="158">
                  <c:v>-60.179430034763399</c:v>
                </c:pt>
                <c:pt idx="159">
                  <c:v>-62.203089379787002</c:v>
                </c:pt>
                <c:pt idx="160">
                  <c:v>-64.495765605017993</c:v>
                </c:pt>
                <c:pt idx="161">
                  <c:v>-68.139323160326455</c:v>
                </c:pt>
                <c:pt idx="162">
                  <c:v>-72.051897595842291</c:v>
                </c:pt>
                <c:pt idx="163">
                  <c:v>-77.098980471461189</c:v>
                </c:pt>
                <c:pt idx="164">
                  <c:v>-81.631453117262041</c:v>
                </c:pt>
                <c:pt idx="165">
                  <c:v>-86.082061313192042</c:v>
                </c:pt>
                <c:pt idx="166">
                  <c:v>-88.801686389329433</c:v>
                </c:pt>
                <c:pt idx="167">
                  <c:v>-93.43944701559596</c:v>
                </c:pt>
                <c:pt idx="168">
                  <c:v>-99.5625974120438</c:v>
                </c:pt>
                <c:pt idx="169">
                  <c:v>-104.38751046864721</c:v>
                </c:pt>
                <c:pt idx="170">
                  <c:v>-105.26506751548361</c:v>
                </c:pt>
              </c:numCache>
            </c:numRef>
          </c:yVal>
        </c:ser>
        <c:axId val="52979968"/>
        <c:axId val="52994432"/>
      </c:scatterChart>
      <c:valAx>
        <c:axId val="52979968"/>
        <c:scaling>
          <c:logBase val="10"/>
          <c:orientation val="minMax"/>
          <c:max val="1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0647064686534431"/>
              <c:y val="0.86533136482939632"/>
            </c:manualLayout>
          </c:layout>
        </c:title>
        <c:numFmt formatCode="General" sourceLinked="1"/>
        <c:tickLblPos val="nextTo"/>
        <c:crossAx val="52994432"/>
        <c:crossesAt val="-360"/>
        <c:crossBetween val="midCat"/>
      </c:valAx>
      <c:valAx>
        <c:axId val="52994432"/>
        <c:scaling>
          <c:orientation val="minMax"/>
          <c:max val="180"/>
          <c:min val="-18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[grd]</a:t>
                </a:r>
              </a:p>
            </c:rich>
          </c:tx>
        </c:title>
        <c:numFmt formatCode="General" sourceLinked="1"/>
        <c:tickLblPos val="nextTo"/>
        <c:crossAx val="52979968"/>
        <c:crosses val="autoZero"/>
        <c:crossBetween val="midCat"/>
        <c:majorUnit val="30"/>
      </c:valAx>
    </c:plotArea>
    <c:legend>
      <c:legendPos val="b"/>
      <c:layout>
        <c:manualLayout>
          <c:xMode val="edge"/>
          <c:yMode val="edge"/>
          <c:x val="5.0000066447390322E-2"/>
          <c:y val="0.92554206765820934"/>
          <c:w val="0.89999986710521962"/>
          <c:h val="6.9828302712160978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0650605487500876E-2"/>
          <c:y val="5.1400554097404488E-2"/>
          <c:w val="0.88980465353919813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'B80-8'!$I$17</c:f>
              <c:strCache>
                <c:ptCount val="1"/>
                <c:pt idx="0">
                  <c:v>B80-8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'B80-8'!$B$18:$B$274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'B80-8'!$I$18:$I$274</c:f>
              <c:numCache>
                <c:formatCode>General</c:formatCode>
                <c:ptCount val="257"/>
                <c:pt idx="0">
                  <c:v>43.405999999999999</c:v>
                </c:pt>
                <c:pt idx="1">
                  <c:v>43.881</c:v>
                </c:pt>
                <c:pt idx="2">
                  <c:v>44.356999999999999</c:v>
                </c:pt>
                <c:pt idx="3">
                  <c:v>44.832999999999998</c:v>
                </c:pt>
                <c:pt idx="4">
                  <c:v>45.31</c:v>
                </c:pt>
                <c:pt idx="5">
                  <c:v>45.786999999999999</c:v>
                </c:pt>
                <c:pt idx="6">
                  <c:v>46.264000000000003</c:v>
                </c:pt>
                <c:pt idx="7">
                  <c:v>46.741999999999997</c:v>
                </c:pt>
                <c:pt idx="8">
                  <c:v>47.22</c:v>
                </c:pt>
                <c:pt idx="9">
                  <c:v>47.698999999999998</c:v>
                </c:pt>
                <c:pt idx="10">
                  <c:v>48.179000000000002</c:v>
                </c:pt>
                <c:pt idx="11">
                  <c:v>48.658999999999999</c:v>
                </c:pt>
                <c:pt idx="12">
                  <c:v>49.139000000000003</c:v>
                </c:pt>
                <c:pt idx="13">
                  <c:v>49.621000000000002</c:v>
                </c:pt>
                <c:pt idx="14">
                  <c:v>50.103000000000002</c:v>
                </c:pt>
                <c:pt idx="15">
                  <c:v>50.585000000000001</c:v>
                </c:pt>
                <c:pt idx="16">
                  <c:v>51.069000000000003</c:v>
                </c:pt>
                <c:pt idx="17">
                  <c:v>51.552999999999997</c:v>
                </c:pt>
                <c:pt idx="18">
                  <c:v>52.037999999999997</c:v>
                </c:pt>
                <c:pt idx="19">
                  <c:v>52.524000000000001</c:v>
                </c:pt>
                <c:pt idx="20">
                  <c:v>53.01</c:v>
                </c:pt>
                <c:pt idx="21">
                  <c:v>53.497999999999998</c:v>
                </c:pt>
                <c:pt idx="22">
                  <c:v>53.987000000000002</c:v>
                </c:pt>
                <c:pt idx="23">
                  <c:v>54.475999999999999</c:v>
                </c:pt>
                <c:pt idx="24">
                  <c:v>54.966999999999999</c:v>
                </c:pt>
                <c:pt idx="25">
                  <c:v>55.459000000000003</c:v>
                </c:pt>
                <c:pt idx="26">
                  <c:v>55.951999999999998</c:v>
                </c:pt>
                <c:pt idx="27">
                  <c:v>56.445999999999998</c:v>
                </c:pt>
                <c:pt idx="28">
                  <c:v>56.942</c:v>
                </c:pt>
                <c:pt idx="29">
                  <c:v>57.439</c:v>
                </c:pt>
                <c:pt idx="30">
                  <c:v>57.938000000000002</c:v>
                </c:pt>
                <c:pt idx="31">
                  <c:v>58.436999999999998</c:v>
                </c:pt>
                <c:pt idx="32">
                  <c:v>58.939</c:v>
                </c:pt>
                <c:pt idx="33">
                  <c:v>59.442</c:v>
                </c:pt>
                <c:pt idx="34">
                  <c:v>59.947000000000003</c:v>
                </c:pt>
                <c:pt idx="35">
                  <c:v>60.453000000000003</c:v>
                </c:pt>
                <c:pt idx="36">
                  <c:v>60.960999999999999</c:v>
                </c:pt>
                <c:pt idx="37">
                  <c:v>61.472000000000001</c:v>
                </c:pt>
                <c:pt idx="38">
                  <c:v>61.984000000000002</c:v>
                </c:pt>
                <c:pt idx="39">
                  <c:v>62.497999999999998</c:v>
                </c:pt>
                <c:pt idx="40">
                  <c:v>63.014000000000003</c:v>
                </c:pt>
                <c:pt idx="41">
                  <c:v>63.531999999999996</c:v>
                </c:pt>
                <c:pt idx="42">
                  <c:v>64.052000000000007</c:v>
                </c:pt>
                <c:pt idx="43">
                  <c:v>64.573999999999998</c:v>
                </c:pt>
                <c:pt idx="44">
                  <c:v>65.099000000000004</c:v>
                </c:pt>
                <c:pt idx="45">
                  <c:v>65.626000000000005</c:v>
                </c:pt>
                <c:pt idx="46">
                  <c:v>66.155000000000001</c:v>
                </c:pt>
                <c:pt idx="47">
                  <c:v>66.686000000000007</c:v>
                </c:pt>
                <c:pt idx="48">
                  <c:v>67.22</c:v>
                </c:pt>
                <c:pt idx="49">
                  <c:v>67.756</c:v>
                </c:pt>
                <c:pt idx="50">
                  <c:v>68.293000000000006</c:v>
                </c:pt>
                <c:pt idx="51">
                  <c:v>68.832999999999998</c:v>
                </c:pt>
                <c:pt idx="52">
                  <c:v>69.375</c:v>
                </c:pt>
                <c:pt idx="53">
                  <c:v>69.918000000000006</c:v>
                </c:pt>
                <c:pt idx="54">
                  <c:v>70.462999999999994</c:v>
                </c:pt>
                <c:pt idx="55">
                  <c:v>71.009</c:v>
                </c:pt>
                <c:pt idx="56">
                  <c:v>71.555999999999997</c:v>
                </c:pt>
                <c:pt idx="57">
                  <c:v>72.103999999999999</c:v>
                </c:pt>
                <c:pt idx="58">
                  <c:v>72.650999999999996</c:v>
                </c:pt>
                <c:pt idx="59">
                  <c:v>73.197999999999993</c:v>
                </c:pt>
                <c:pt idx="60">
                  <c:v>73.744</c:v>
                </c:pt>
                <c:pt idx="61">
                  <c:v>74.287000000000006</c:v>
                </c:pt>
                <c:pt idx="62">
                  <c:v>74.828000000000003</c:v>
                </c:pt>
                <c:pt idx="63">
                  <c:v>75.364000000000004</c:v>
                </c:pt>
                <c:pt idx="64">
                  <c:v>75.896000000000001</c:v>
                </c:pt>
                <c:pt idx="65">
                  <c:v>76.421000000000006</c:v>
                </c:pt>
                <c:pt idx="66">
                  <c:v>76.938999999999993</c:v>
                </c:pt>
                <c:pt idx="67">
                  <c:v>77.447000000000003</c:v>
                </c:pt>
                <c:pt idx="68">
                  <c:v>77.944000000000003</c:v>
                </c:pt>
                <c:pt idx="69">
                  <c:v>78.429000000000002</c:v>
                </c:pt>
                <c:pt idx="70">
                  <c:v>78.899000000000001</c:v>
                </c:pt>
                <c:pt idx="71">
                  <c:v>79.353999999999999</c:v>
                </c:pt>
                <c:pt idx="72">
                  <c:v>79.790000000000006</c:v>
                </c:pt>
                <c:pt idx="73">
                  <c:v>80.207999999999998</c:v>
                </c:pt>
                <c:pt idx="74">
                  <c:v>80.603999999999999</c:v>
                </c:pt>
                <c:pt idx="75">
                  <c:v>80.98</c:v>
                </c:pt>
                <c:pt idx="76">
                  <c:v>81.331999999999994</c:v>
                </c:pt>
                <c:pt idx="77">
                  <c:v>81.635999999999996</c:v>
                </c:pt>
                <c:pt idx="78">
                  <c:v>81.903999999999996</c:v>
                </c:pt>
                <c:pt idx="79">
                  <c:v>82.147000000000006</c:v>
                </c:pt>
                <c:pt idx="80">
                  <c:v>82.369</c:v>
                </c:pt>
                <c:pt idx="81">
                  <c:v>82.575000000000003</c:v>
                </c:pt>
                <c:pt idx="82">
                  <c:v>82.766999999999996</c:v>
                </c:pt>
                <c:pt idx="83">
                  <c:v>82.942999999999998</c:v>
                </c:pt>
                <c:pt idx="84">
                  <c:v>83.102000000000004</c:v>
                </c:pt>
                <c:pt idx="85">
                  <c:v>83.245999999999995</c:v>
                </c:pt>
                <c:pt idx="86">
                  <c:v>83.373999999999995</c:v>
                </c:pt>
                <c:pt idx="87">
                  <c:v>83.488</c:v>
                </c:pt>
                <c:pt idx="88">
                  <c:v>83.587999999999994</c:v>
                </c:pt>
                <c:pt idx="89">
                  <c:v>83.683000000000007</c:v>
                </c:pt>
                <c:pt idx="90">
                  <c:v>83.78</c:v>
                </c:pt>
                <c:pt idx="91">
                  <c:v>83.888000000000005</c:v>
                </c:pt>
                <c:pt idx="92">
                  <c:v>84.001000000000005</c:v>
                </c:pt>
                <c:pt idx="93">
                  <c:v>84.1</c:v>
                </c:pt>
                <c:pt idx="94">
                  <c:v>84.17</c:v>
                </c:pt>
                <c:pt idx="95">
                  <c:v>84.215000000000003</c:v>
                </c:pt>
                <c:pt idx="96">
                  <c:v>84.248000000000005</c:v>
                </c:pt>
                <c:pt idx="97">
                  <c:v>84.272999999999996</c:v>
                </c:pt>
                <c:pt idx="98">
                  <c:v>84.28</c:v>
                </c:pt>
                <c:pt idx="99">
                  <c:v>84.256</c:v>
                </c:pt>
                <c:pt idx="100">
                  <c:v>84.209000000000003</c:v>
                </c:pt>
                <c:pt idx="101">
                  <c:v>84.164000000000001</c:v>
                </c:pt>
                <c:pt idx="102">
                  <c:v>84.135999999999996</c:v>
                </c:pt>
                <c:pt idx="103">
                  <c:v>84.120999999999995</c:v>
                </c:pt>
                <c:pt idx="104">
                  <c:v>84.128</c:v>
                </c:pt>
                <c:pt idx="105">
                  <c:v>84.194000000000003</c:v>
                </c:pt>
                <c:pt idx="106">
                  <c:v>84.356999999999999</c:v>
                </c:pt>
                <c:pt idx="107">
                  <c:v>84.584000000000003</c:v>
                </c:pt>
                <c:pt idx="108">
                  <c:v>84.745000000000005</c:v>
                </c:pt>
                <c:pt idx="109">
                  <c:v>84.700999999999993</c:v>
                </c:pt>
                <c:pt idx="110">
                  <c:v>84.453000000000003</c:v>
                </c:pt>
                <c:pt idx="111">
                  <c:v>84.159000000000006</c:v>
                </c:pt>
                <c:pt idx="112">
                  <c:v>84.016000000000005</c:v>
                </c:pt>
                <c:pt idx="113">
                  <c:v>84.123999999999995</c:v>
                </c:pt>
                <c:pt idx="114">
                  <c:v>84.43</c:v>
                </c:pt>
                <c:pt idx="115">
                  <c:v>84.78</c:v>
                </c:pt>
                <c:pt idx="116">
                  <c:v>85.022999999999996</c:v>
                </c:pt>
                <c:pt idx="117">
                  <c:v>85.096999999999994</c:v>
                </c:pt>
                <c:pt idx="118">
                  <c:v>85.09</c:v>
                </c:pt>
                <c:pt idx="119">
                  <c:v>85.049000000000007</c:v>
                </c:pt>
                <c:pt idx="120">
                  <c:v>84.983000000000004</c:v>
                </c:pt>
                <c:pt idx="121">
                  <c:v>84.856999999999999</c:v>
                </c:pt>
                <c:pt idx="122">
                  <c:v>84.635999999999996</c:v>
                </c:pt>
                <c:pt idx="123">
                  <c:v>84.352999999999994</c:v>
                </c:pt>
                <c:pt idx="124">
                  <c:v>84.149000000000001</c:v>
                </c:pt>
                <c:pt idx="125">
                  <c:v>84.144999999999996</c:v>
                </c:pt>
                <c:pt idx="126">
                  <c:v>84.319000000000003</c:v>
                </c:pt>
                <c:pt idx="127">
                  <c:v>84.537000000000006</c:v>
                </c:pt>
                <c:pt idx="128">
                  <c:v>84.680999999999997</c:v>
                </c:pt>
                <c:pt idx="129">
                  <c:v>84.787999999999997</c:v>
                </c:pt>
                <c:pt idx="130">
                  <c:v>84.974999999999994</c:v>
                </c:pt>
                <c:pt idx="131">
                  <c:v>85.256</c:v>
                </c:pt>
                <c:pt idx="132">
                  <c:v>85.542000000000002</c:v>
                </c:pt>
                <c:pt idx="133">
                  <c:v>85.728999999999999</c:v>
                </c:pt>
                <c:pt idx="134">
                  <c:v>85.754999999999995</c:v>
                </c:pt>
                <c:pt idx="135">
                  <c:v>85.659000000000006</c:v>
                </c:pt>
                <c:pt idx="136">
                  <c:v>85.569000000000003</c:v>
                </c:pt>
                <c:pt idx="137">
                  <c:v>85.614999999999995</c:v>
                </c:pt>
                <c:pt idx="138">
                  <c:v>85.873000000000005</c:v>
                </c:pt>
                <c:pt idx="139">
                  <c:v>86.302999999999997</c:v>
                </c:pt>
                <c:pt idx="140">
                  <c:v>86.753</c:v>
                </c:pt>
                <c:pt idx="141">
                  <c:v>87.043999999999997</c:v>
                </c:pt>
                <c:pt idx="142">
                  <c:v>87.069000000000003</c:v>
                </c:pt>
                <c:pt idx="143">
                  <c:v>86.835999999999999</c:v>
                </c:pt>
                <c:pt idx="144">
                  <c:v>86.448999999999998</c:v>
                </c:pt>
                <c:pt idx="145">
                  <c:v>86.087999999999994</c:v>
                </c:pt>
                <c:pt idx="146">
                  <c:v>85.947000000000003</c:v>
                </c:pt>
                <c:pt idx="147">
                  <c:v>86.122</c:v>
                </c:pt>
                <c:pt idx="148">
                  <c:v>86.515000000000001</c:v>
                </c:pt>
                <c:pt idx="149">
                  <c:v>86.856999999999999</c:v>
                </c:pt>
                <c:pt idx="150">
                  <c:v>86.918000000000006</c:v>
                </c:pt>
                <c:pt idx="151">
                  <c:v>86.69</c:v>
                </c:pt>
                <c:pt idx="152">
                  <c:v>86.378</c:v>
                </c:pt>
                <c:pt idx="153">
                  <c:v>86.182000000000002</c:v>
                </c:pt>
                <c:pt idx="154">
                  <c:v>86.125</c:v>
                </c:pt>
                <c:pt idx="155">
                  <c:v>86.134</c:v>
                </c:pt>
                <c:pt idx="156">
                  <c:v>86.114999999999995</c:v>
                </c:pt>
                <c:pt idx="157">
                  <c:v>85.992999999999995</c:v>
                </c:pt>
                <c:pt idx="158">
                  <c:v>85.858000000000004</c:v>
                </c:pt>
                <c:pt idx="159">
                  <c:v>85.866</c:v>
                </c:pt>
                <c:pt idx="160">
                  <c:v>86.042000000000002</c:v>
                </c:pt>
                <c:pt idx="161">
                  <c:v>86.216999999999999</c:v>
                </c:pt>
                <c:pt idx="162">
                  <c:v>86.13</c:v>
                </c:pt>
                <c:pt idx="163">
                  <c:v>85.784000000000006</c:v>
                </c:pt>
                <c:pt idx="164">
                  <c:v>85.504999999999995</c:v>
                </c:pt>
                <c:pt idx="165">
                  <c:v>85.549000000000007</c:v>
                </c:pt>
                <c:pt idx="166">
                  <c:v>85.832999999999998</c:v>
                </c:pt>
                <c:pt idx="167">
                  <c:v>85.921000000000006</c:v>
                </c:pt>
                <c:pt idx="168">
                  <c:v>85.481999999999999</c:v>
                </c:pt>
                <c:pt idx="169">
                  <c:v>84.869</c:v>
                </c:pt>
                <c:pt idx="170">
                  <c:v>84.68</c:v>
                </c:pt>
                <c:pt idx="171">
                  <c:v>85.085999999999999</c:v>
                </c:pt>
                <c:pt idx="172">
                  <c:v>85.692999999999998</c:v>
                </c:pt>
                <c:pt idx="173">
                  <c:v>86.022000000000006</c:v>
                </c:pt>
                <c:pt idx="174">
                  <c:v>86.225999999999999</c:v>
                </c:pt>
                <c:pt idx="175">
                  <c:v>86.52</c:v>
                </c:pt>
                <c:pt idx="176">
                  <c:v>86.694999999999993</c:v>
                </c:pt>
                <c:pt idx="177">
                  <c:v>86.741</c:v>
                </c:pt>
                <c:pt idx="178">
                  <c:v>86.772999999999996</c:v>
                </c:pt>
                <c:pt idx="179">
                  <c:v>86.497</c:v>
                </c:pt>
                <c:pt idx="180">
                  <c:v>85.811000000000007</c:v>
                </c:pt>
                <c:pt idx="181">
                  <c:v>85.393000000000001</c:v>
                </c:pt>
                <c:pt idx="182">
                  <c:v>85.468999999999994</c:v>
                </c:pt>
                <c:pt idx="183">
                  <c:v>85.28</c:v>
                </c:pt>
                <c:pt idx="184">
                  <c:v>84.867999999999995</c:v>
                </c:pt>
                <c:pt idx="185">
                  <c:v>84.879000000000005</c:v>
                </c:pt>
                <c:pt idx="186">
                  <c:v>84.968000000000004</c:v>
                </c:pt>
                <c:pt idx="187">
                  <c:v>84.887</c:v>
                </c:pt>
                <c:pt idx="188">
                  <c:v>84.885999999999996</c:v>
                </c:pt>
                <c:pt idx="189">
                  <c:v>84.611999999999995</c:v>
                </c:pt>
                <c:pt idx="190">
                  <c:v>84.581000000000003</c:v>
                </c:pt>
                <c:pt idx="191">
                  <c:v>84.736000000000004</c:v>
                </c:pt>
                <c:pt idx="192">
                  <c:v>85.054000000000002</c:v>
                </c:pt>
                <c:pt idx="193">
                  <c:v>85.683000000000007</c:v>
                </c:pt>
                <c:pt idx="194">
                  <c:v>85.528999999999996</c:v>
                </c:pt>
                <c:pt idx="195">
                  <c:v>85.289000000000001</c:v>
                </c:pt>
                <c:pt idx="196">
                  <c:v>85.143000000000001</c:v>
                </c:pt>
                <c:pt idx="197">
                  <c:v>85.012</c:v>
                </c:pt>
                <c:pt idx="198">
                  <c:v>84.947999999999993</c:v>
                </c:pt>
                <c:pt idx="199">
                  <c:v>84.954999999999998</c:v>
                </c:pt>
                <c:pt idx="200">
                  <c:v>84.849000000000004</c:v>
                </c:pt>
                <c:pt idx="201">
                  <c:v>84.772000000000006</c:v>
                </c:pt>
                <c:pt idx="202">
                  <c:v>84.724999999999994</c:v>
                </c:pt>
                <c:pt idx="203">
                  <c:v>84.756</c:v>
                </c:pt>
                <c:pt idx="204">
                  <c:v>84.932000000000002</c:v>
                </c:pt>
                <c:pt idx="205">
                  <c:v>85.045000000000002</c:v>
                </c:pt>
                <c:pt idx="206">
                  <c:v>85.116</c:v>
                </c:pt>
                <c:pt idx="207">
                  <c:v>85.191999999999993</c:v>
                </c:pt>
                <c:pt idx="208">
                  <c:v>85.31</c:v>
                </c:pt>
                <c:pt idx="209">
                  <c:v>85.501000000000005</c:v>
                </c:pt>
                <c:pt idx="210">
                  <c:v>85.733000000000004</c:v>
                </c:pt>
                <c:pt idx="211">
                  <c:v>85.944000000000003</c:v>
                </c:pt>
                <c:pt idx="212">
                  <c:v>86.131</c:v>
                </c:pt>
                <c:pt idx="213">
                  <c:v>86.209000000000003</c:v>
                </c:pt>
                <c:pt idx="214">
                  <c:v>86.201999999999998</c:v>
                </c:pt>
                <c:pt idx="215">
                  <c:v>86.275000000000006</c:v>
                </c:pt>
                <c:pt idx="216">
                  <c:v>86.367999999999995</c:v>
                </c:pt>
                <c:pt idx="217">
                  <c:v>86.391999999999996</c:v>
                </c:pt>
                <c:pt idx="218">
                  <c:v>86.244</c:v>
                </c:pt>
                <c:pt idx="219">
                  <c:v>85.944999999999993</c:v>
                </c:pt>
                <c:pt idx="220">
                  <c:v>85.600999999999999</c:v>
                </c:pt>
                <c:pt idx="221">
                  <c:v>85.456000000000003</c:v>
                </c:pt>
                <c:pt idx="222">
                  <c:v>85.784999999999997</c:v>
                </c:pt>
                <c:pt idx="223">
                  <c:v>86.302000000000007</c:v>
                </c:pt>
                <c:pt idx="224">
                  <c:v>86.74</c:v>
                </c:pt>
                <c:pt idx="225">
                  <c:v>87.072000000000003</c:v>
                </c:pt>
                <c:pt idx="226">
                  <c:v>87.314999999999998</c:v>
                </c:pt>
                <c:pt idx="227">
                  <c:v>87.272000000000006</c:v>
                </c:pt>
                <c:pt idx="228">
                  <c:v>87.176000000000002</c:v>
                </c:pt>
                <c:pt idx="229">
                  <c:v>86.856999999999999</c:v>
                </c:pt>
                <c:pt idx="230">
                  <c:v>86.691999999999993</c:v>
                </c:pt>
                <c:pt idx="231">
                  <c:v>86.965999999999994</c:v>
                </c:pt>
                <c:pt idx="232">
                  <c:v>87.781999999999996</c:v>
                </c:pt>
                <c:pt idx="233">
                  <c:v>88.897999999999996</c:v>
                </c:pt>
                <c:pt idx="234">
                  <c:v>89.816999999999993</c:v>
                </c:pt>
                <c:pt idx="235">
                  <c:v>90.174999999999997</c:v>
                </c:pt>
                <c:pt idx="236">
                  <c:v>89.864999999999995</c:v>
                </c:pt>
                <c:pt idx="237">
                  <c:v>89.161000000000001</c:v>
                </c:pt>
                <c:pt idx="238">
                  <c:v>88.287999999999997</c:v>
                </c:pt>
                <c:pt idx="239">
                  <c:v>87.537999999999997</c:v>
                </c:pt>
                <c:pt idx="240">
                  <c:v>87.257000000000005</c:v>
                </c:pt>
                <c:pt idx="241">
                  <c:v>87.581999999999994</c:v>
                </c:pt>
                <c:pt idx="242">
                  <c:v>88.262</c:v>
                </c:pt>
                <c:pt idx="243">
                  <c:v>88.82</c:v>
                </c:pt>
                <c:pt idx="244">
                  <c:v>88.784000000000006</c:v>
                </c:pt>
                <c:pt idx="245">
                  <c:v>88.046000000000006</c:v>
                </c:pt>
                <c:pt idx="246">
                  <c:v>86.948999999999998</c:v>
                </c:pt>
                <c:pt idx="247">
                  <c:v>86.066999999999993</c:v>
                </c:pt>
                <c:pt idx="248">
                  <c:v>85.963999999999999</c:v>
                </c:pt>
                <c:pt idx="249">
                  <c:v>86.837000000000003</c:v>
                </c:pt>
                <c:pt idx="250">
                  <c:v>88.391999999999996</c:v>
                </c:pt>
                <c:pt idx="251">
                  <c:v>89.988</c:v>
                </c:pt>
                <c:pt idx="252">
                  <c:v>91.04</c:v>
                </c:pt>
                <c:pt idx="253">
                  <c:v>91.224999999999994</c:v>
                </c:pt>
                <c:pt idx="254">
                  <c:v>90.537999999999997</c:v>
                </c:pt>
                <c:pt idx="255">
                  <c:v>89.593000000000004</c:v>
                </c:pt>
                <c:pt idx="256">
                  <c:v>88.861999999999995</c:v>
                </c:pt>
              </c:numCache>
            </c:numRef>
          </c:yVal>
        </c:ser>
        <c:ser>
          <c:idx val="0"/>
          <c:order val="1"/>
          <c:tx>
            <c:strRef>
              <c:f>'B80-8'!$P$17</c:f>
              <c:strCache>
                <c:ptCount val="1"/>
                <c:pt idx="0">
                  <c:v>B80-8 (1)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'B80-8'!$B$18:$B$274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'B80-8'!$P$18:$P$274</c:f>
              <c:numCache>
                <c:formatCode>General</c:formatCode>
                <c:ptCount val="25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84.124491473945</c:v>
                </c:pt>
                <c:pt idx="87">
                  <c:v>84.124491473945</c:v>
                </c:pt>
                <c:pt idx="88">
                  <c:v>84.124491473945</c:v>
                </c:pt>
                <c:pt idx="89">
                  <c:v>84.356128924941316</c:v>
                </c:pt>
                <c:pt idx="90">
                  <c:v>84.356128924941316</c:v>
                </c:pt>
                <c:pt idx="91">
                  <c:v>84.581749133135105</c:v>
                </c:pt>
                <c:pt idx="92">
                  <c:v>84.80165681916435</c:v>
                </c:pt>
                <c:pt idx="93">
                  <c:v>85.016134126999816</c:v>
                </c:pt>
                <c:pt idx="94">
                  <c:v>85.225442800563115</c:v>
                </c:pt>
                <c:pt idx="95">
                  <c:v>85.429826104196849</c:v>
                </c:pt>
                <c:pt idx="96">
                  <c:v>85.429826104196849</c:v>
                </c:pt>
                <c:pt idx="97">
                  <c:v>85.429826104196849</c:v>
                </c:pt>
                <c:pt idx="98">
                  <c:v>85.429826104196849</c:v>
                </c:pt>
                <c:pt idx="99">
                  <c:v>85.629510522328872</c:v>
                </c:pt>
                <c:pt idx="100">
                  <c:v>85.629510522328872</c:v>
                </c:pt>
                <c:pt idx="101">
                  <c:v>85.884707268111981</c:v>
                </c:pt>
                <c:pt idx="102">
                  <c:v>85.924707268111973</c:v>
                </c:pt>
                <c:pt idx="103">
                  <c:v>86.115613626236581</c:v>
                </c:pt>
                <c:pt idx="104">
                  <c:v>86.115613626236581</c:v>
                </c:pt>
                <c:pt idx="105">
                  <c:v>86.485281740116847</c:v>
                </c:pt>
                <c:pt idx="106">
                  <c:v>86.485281740116847</c:v>
                </c:pt>
                <c:pt idx="107">
                  <c:v>86.485281740116847</c:v>
                </c:pt>
                <c:pt idx="108">
                  <c:v>86.664378593175371</c:v>
                </c:pt>
                <c:pt idx="109">
                  <c:v>86.839857079325469</c:v>
                </c:pt>
                <c:pt idx="110">
                  <c:v>86.839857079325469</c:v>
                </c:pt>
                <c:pt idx="111">
                  <c:v>87.011860514563836</c:v>
                </c:pt>
                <c:pt idx="112">
                  <c:v>87.180523865301097</c:v>
                </c:pt>
                <c:pt idx="113">
                  <c:v>87.195523865301098</c:v>
                </c:pt>
                <c:pt idx="114">
                  <c:v>87.25452386530111</c:v>
                </c:pt>
                <c:pt idx="115">
                  <c:v>87.445974384620897</c:v>
                </c:pt>
                <c:pt idx="116">
                  <c:v>87.445974384620897</c:v>
                </c:pt>
                <c:pt idx="117">
                  <c:v>87.445974384620897</c:v>
                </c:pt>
                <c:pt idx="118">
                  <c:v>87.608332189064484</c:v>
                </c:pt>
                <c:pt idx="119">
                  <c:v>87.608332189064484</c:v>
                </c:pt>
                <c:pt idx="120">
                  <c:v>87.767710782489999</c:v>
                </c:pt>
                <c:pt idx="121">
                  <c:v>87.767710782489999</c:v>
                </c:pt>
                <c:pt idx="122">
                  <c:v>87.767710782489999</c:v>
                </c:pt>
                <c:pt idx="123">
                  <c:v>87.924217532729116</c:v>
                </c:pt>
                <c:pt idx="124">
                  <c:v>87.924217532729116</c:v>
                </c:pt>
                <c:pt idx="125">
                  <c:v>88.077954106054946</c:v>
                </c:pt>
                <c:pt idx="126">
                  <c:v>88.075454106054949</c:v>
                </c:pt>
                <c:pt idx="127">
                  <c:v>88.033954106054949</c:v>
                </c:pt>
                <c:pt idx="128">
                  <c:v>88.142516863863861</c:v>
                </c:pt>
                <c:pt idx="129">
                  <c:v>88.129016863863853</c:v>
                </c:pt>
                <c:pt idx="130">
                  <c:v>88.129016863863853</c:v>
                </c:pt>
                <c:pt idx="131">
                  <c:v>88.109016863863857</c:v>
                </c:pt>
                <c:pt idx="132">
                  <c:v>88.209997225448006</c:v>
                </c:pt>
                <c:pt idx="133">
                  <c:v>88.310682000277978</c:v>
                </c:pt>
                <c:pt idx="134">
                  <c:v>88.271082000277971</c:v>
                </c:pt>
                <c:pt idx="135">
                  <c:v>88.230282000277981</c:v>
                </c:pt>
                <c:pt idx="136">
                  <c:v>88.367053692820463</c:v>
                </c:pt>
                <c:pt idx="137">
                  <c:v>88.508290782570199</c:v>
                </c:pt>
                <c:pt idx="138">
                  <c:v>88.531090782570189</c:v>
                </c:pt>
                <c:pt idx="139">
                  <c:v>88.576290782570197</c:v>
                </c:pt>
                <c:pt idx="140">
                  <c:v>88.608290782570194</c:v>
                </c:pt>
                <c:pt idx="141">
                  <c:v>88.608290782570194</c:v>
                </c:pt>
                <c:pt idx="142">
                  <c:v>88.323482000277977</c:v>
                </c:pt>
                <c:pt idx="143">
                  <c:v>88.323482000277977</c:v>
                </c:pt>
                <c:pt idx="144">
                  <c:v>88.029016863863859</c:v>
                </c:pt>
                <c:pt idx="145">
                  <c:v>87.724217532729114</c:v>
                </c:pt>
                <c:pt idx="146">
                  <c:v>87.567710782489996</c:v>
                </c:pt>
                <c:pt idx="147">
                  <c:v>87.408332189064481</c:v>
                </c:pt>
                <c:pt idx="148">
                  <c:v>87.245974384620894</c:v>
                </c:pt>
                <c:pt idx="149">
                  <c:v>87.22083152747804</c:v>
                </c:pt>
                <c:pt idx="150">
                  <c:v>87.29518933192162</c:v>
                </c:pt>
                <c:pt idx="151">
                  <c:v>87.208332189064478</c:v>
                </c:pt>
                <c:pt idx="152">
                  <c:v>87.367710782489993</c:v>
                </c:pt>
                <c:pt idx="153">
                  <c:v>87.524217532729111</c:v>
                </c:pt>
                <c:pt idx="154">
                  <c:v>87.855016863863852</c:v>
                </c:pt>
                <c:pt idx="155">
                  <c:v>87.898766863863855</c:v>
                </c:pt>
                <c:pt idx="156">
                  <c:v>87.929016863863865</c:v>
                </c:pt>
                <c:pt idx="157">
                  <c:v>87.929016863863865</c:v>
                </c:pt>
                <c:pt idx="158">
                  <c:v>87.624217532729119</c:v>
                </c:pt>
                <c:pt idx="159">
                  <c:v>87.308332189064487</c:v>
                </c:pt>
                <c:pt idx="160">
                  <c:v>87.145974384620899</c:v>
                </c:pt>
                <c:pt idx="161">
                  <c:v>87.108774384620887</c:v>
                </c:pt>
                <c:pt idx="162">
                  <c:v>87.066174384620894</c:v>
                </c:pt>
                <c:pt idx="163">
                  <c:v>87.208332189064478</c:v>
                </c:pt>
                <c:pt idx="164">
                  <c:v>87.829016863863856</c:v>
                </c:pt>
                <c:pt idx="165">
                  <c:v>87.977497225448005</c:v>
                </c:pt>
                <c:pt idx="166">
                  <c:v>87.977497225448005</c:v>
                </c:pt>
                <c:pt idx="167">
                  <c:v>87.829016863863856</c:v>
                </c:pt>
                <c:pt idx="168">
                  <c:v>87.479308441820024</c:v>
                </c:pt>
                <c:pt idx="169">
                  <c:v>86.789251138028376</c:v>
                </c:pt>
                <c:pt idx="170">
                  <c:v>86.403857079325476</c:v>
                </c:pt>
                <c:pt idx="171">
                  <c:v>86.359857079325479</c:v>
                </c:pt>
                <c:pt idx="172">
                  <c:v>86.705139249916485</c:v>
                </c:pt>
                <c:pt idx="173">
                  <c:v>87.077562958295246</c:v>
                </c:pt>
                <c:pt idx="174">
                  <c:v>87.577954106054946</c:v>
                </c:pt>
                <c:pt idx="175">
                  <c:v>87.87749722544801</c:v>
                </c:pt>
                <c:pt idx="176">
                  <c:v>88.16705369282046</c:v>
                </c:pt>
                <c:pt idx="177">
                  <c:v>88.489934648343407</c:v>
                </c:pt>
                <c:pt idx="178">
                  <c:v>88.936669036775825</c:v>
                </c:pt>
                <c:pt idx="179">
                  <c:v>88.922585703442493</c:v>
                </c:pt>
                <c:pt idx="180">
                  <c:v>88.747474125462233</c:v>
                </c:pt>
                <c:pt idx="181">
                  <c:v>88.088482000277978</c:v>
                </c:pt>
                <c:pt idx="182">
                  <c:v>87.353332189064474</c:v>
                </c:pt>
                <c:pt idx="183">
                  <c:v>87.180523865301097</c:v>
                </c:pt>
                <c:pt idx="184">
                  <c:v>86.839857079325469</c:v>
                </c:pt>
                <c:pt idx="185">
                  <c:v>86.485281740116847</c:v>
                </c:pt>
                <c:pt idx="186">
                  <c:v>86.078771520973433</c:v>
                </c:pt>
                <c:pt idx="187">
                  <c:v>86.034560994657639</c:v>
                </c:pt>
                <c:pt idx="188">
                  <c:v>85.967613626236584</c:v>
                </c:pt>
                <c:pt idx="189">
                  <c:v>86.249281740116857</c:v>
                </c:pt>
                <c:pt idx="190">
                  <c:v>87.499455627967208</c:v>
                </c:pt>
                <c:pt idx="191">
                  <c:v>87.714731149578142</c:v>
                </c:pt>
                <c:pt idx="192">
                  <c:v>87.623799472559512</c:v>
                </c:pt>
                <c:pt idx="193">
                  <c:v>87.034667304229131</c:v>
                </c:pt>
                <c:pt idx="194">
                  <c:v>86.904232521620429</c:v>
                </c:pt>
                <c:pt idx="195">
                  <c:v>86.867710782489993</c:v>
                </c:pt>
                <c:pt idx="196">
                  <c:v>86.708332189064478</c:v>
                </c:pt>
                <c:pt idx="197">
                  <c:v>86.687532189064484</c:v>
                </c:pt>
                <c:pt idx="198">
                  <c:v>86.802910782490002</c:v>
                </c:pt>
                <c:pt idx="199">
                  <c:v>87.067954106054941</c:v>
                </c:pt>
                <c:pt idx="200">
                  <c:v>86.872074675586262</c:v>
                </c:pt>
                <c:pt idx="201">
                  <c:v>86.350260098906602</c:v>
                </c:pt>
                <c:pt idx="202">
                  <c:v>85.895998445598323</c:v>
                </c:pt>
                <c:pt idx="203">
                  <c:v>85.591581217256504</c:v>
                </c:pt>
                <c:pt idx="204">
                  <c:v>84.760946959569921</c:v>
                </c:pt>
                <c:pt idx="205">
                  <c:v>84.670280292903257</c:v>
                </c:pt>
                <c:pt idx="206">
                  <c:v>85.322887382355773</c:v>
                </c:pt>
                <c:pt idx="207">
                  <c:v>85.279251018719421</c:v>
                </c:pt>
                <c:pt idx="208">
                  <c:v>85.571381008158241</c:v>
                </c:pt>
                <c:pt idx="209">
                  <c:v>85.143857079325471</c:v>
                </c:pt>
                <c:pt idx="210">
                  <c:v>84.331613626236589</c:v>
                </c:pt>
                <c:pt idx="211">
                  <c:v>84.650146604981714</c:v>
                </c:pt>
                <c:pt idx="212">
                  <c:v>84.784919133715917</c:v>
                </c:pt>
                <c:pt idx="213">
                  <c:v>84.962857079325474</c:v>
                </c:pt>
                <c:pt idx="214">
                  <c:v>85.006357079325468</c:v>
                </c:pt>
                <c:pt idx="215">
                  <c:v>84.716710311545427</c:v>
                </c:pt>
                <c:pt idx="216">
                  <c:v>85.024378593175371</c:v>
                </c:pt>
                <c:pt idx="217">
                  <c:v>84.796699865605177</c:v>
                </c:pt>
                <c:pt idx="218">
                  <c:v>85.596887501664739</c:v>
                </c:pt>
                <c:pt idx="219">
                  <c:v>85.994074418853629</c:v>
                </c:pt>
                <c:pt idx="220">
                  <c:v>86.187954106054946</c:v>
                </c:pt>
                <c:pt idx="221">
                  <c:v>87.965623966986627</c:v>
                </c:pt>
                <c:pt idx="222">
                  <c:v>88.379282260439098</c:v>
                </c:pt>
                <c:pt idx="223">
                  <c:v>87.947223966986627</c:v>
                </c:pt>
                <c:pt idx="224">
                  <c:v>87.058871287097659</c:v>
                </c:pt>
                <c:pt idx="225">
                  <c:v>87.021687088425196</c:v>
                </c:pt>
                <c:pt idx="226">
                  <c:v>87.10861971328832</c:v>
                </c:pt>
                <c:pt idx="227">
                  <c:v>87.136951036203527</c:v>
                </c:pt>
                <c:pt idx="228">
                  <c:v>85.666911600705959</c:v>
                </c:pt>
                <c:pt idx="229">
                  <c:v>85.629016863863853</c:v>
                </c:pt>
                <c:pt idx="230">
                  <c:v>85.629016863863853</c:v>
                </c:pt>
                <c:pt idx="231">
                  <c:v>84.680523865301097</c:v>
                </c:pt>
                <c:pt idx="232">
                  <c:v>82.82544280056311</c:v>
                </c:pt>
                <c:pt idx="233">
                  <c:v>82.824266329974876</c:v>
                </c:pt>
                <c:pt idx="234">
                  <c:v>82.985120221843914</c:v>
                </c:pt>
                <c:pt idx="235">
                  <c:v>84.591112100595225</c:v>
                </c:pt>
                <c:pt idx="236">
                  <c:v>85.967053692820457</c:v>
                </c:pt>
                <c:pt idx="237">
                  <c:v>88.950426017476474</c:v>
                </c:pt>
                <c:pt idx="238">
                  <c:v>89.981132352608853</c:v>
                </c:pt>
                <c:pt idx="239">
                  <c:v>89.584086781601599</c:v>
                </c:pt>
                <c:pt idx="240">
                  <c:v>89.568111036575488</c:v>
                </c:pt>
                <c:pt idx="241">
                  <c:v>88.546977905488021</c:v>
                </c:pt>
                <c:pt idx="242">
                  <c:v>87.630449503528311</c:v>
                </c:pt>
                <c:pt idx="243">
                  <c:v>88.56622672162149</c:v>
                </c:pt>
                <c:pt idx="244">
                  <c:v>87.668917948325415</c:v>
                </c:pt>
                <c:pt idx="245">
                  <c:v>87.790723564906571</c:v>
                </c:pt>
                <c:pt idx="246">
                  <c:v>90.202689786434277</c:v>
                </c:pt>
                <c:pt idx="247">
                  <c:v>88.805881653396483</c:v>
                </c:pt>
                <c:pt idx="248">
                  <c:v>87.222256732443981</c:v>
                </c:pt>
                <c:pt idx="249">
                  <c:v>85.814031473144937</c:v>
                </c:pt>
                <c:pt idx="250">
                  <c:v>83.526938959640731</c:v>
                </c:pt>
                <c:pt idx="251">
                  <c:v>82.506368343217716</c:v>
                </c:pt>
                <c:pt idx="252">
                  <c:v>82.515613626236586</c:v>
                </c:pt>
                <c:pt idx="253">
                  <c:v>86.3310811436275</c:v>
                </c:pt>
                <c:pt idx="254">
                  <c:v>88.063974457083305</c:v>
                </c:pt>
                <c:pt idx="255">
                  <c:v>88.578317715310277</c:v>
                </c:pt>
                <c:pt idx="256">
                  <c:v>86.616245942507007</c:v>
                </c:pt>
              </c:numCache>
            </c:numRef>
          </c:yVal>
        </c:ser>
        <c:ser>
          <c:idx val="1"/>
          <c:order val="2"/>
          <c:tx>
            <c:strRef>
              <c:f>'B80-8'!$Q$17</c:f>
              <c:strCache>
                <c:ptCount val="1"/>
                <c:pt idx="0">
                  <c:v>B80-8 (2)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'B80-8'!$B$18:$B$274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'B80-8'!$Q$18:$Q$274</c:f>
              <c:numCache>
                <c:formatCode>General</c:formatCode>
                <c:ptCount val="25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83.886507007950854</c:v>
                </c:pt>
                <c:pt idx="87">
                  <c:v>83.886507007950854</c:v>
                </c:pt>
                <c:pt idx="88">
                  <c:v>83.886507007950854</c:v>
                </c:pt>
                <c:pt idx="89">
                  <c:v>84.124491473945</c:v>
                </c:pt>
                <c:pt idx="90">
                  <c:v>84.124491473945</c:v>
                </c:pt>
                <c:pt idx="91">
                  <c:v>84.356128924941316</c:v>
                </c:pt>
                <c:pt idx="92">
                  <c:v>84.581749133135105</c:v>
                </c:pt>
                <c:pt idx="93">
                  <c:v>84.80165681916435</c:v>
                </c:pt>
                <c:pt idx="94">
                  <c:v>84.80165681916435</c:v>
                </c:pt>
                <c:pt idx="95">
                  <c:v>85.016134126999816</c:v>
                </c:pt>
                <c:pt idx="96">
                  <c:v>85.016134126999816</c:v>
                </c:pt>
                <c:pt idx="97">
                  <c:v>85.225442800563115</c:v>
                </c:pt>
                <c:pt idx="98">
                  <c:v>85.225442800563115</c:v>
                </c:pt>
                <c:pt idx="99">
                  <c:v>85.307774124459769</c:v>
                </c:pt>
                <c:pt idx="100">
                  <c:v>85.429826104196849</c:v>
                </c:pt>
                <c:pt idx="101">
                  <c:v>85.570251582855335</c:v>
                </c:pt>
                <c:pt idx="102">
                  <c:v>85.729510522328866</c:v>
                </c:pt>
                <c:pt idx="103">
                  <c:v>85.847154166847943</c:v>
                </c:pt>
                <c:pt idx="104">
                  <c:v>85.847154166847943</c:v>
                </c:pt>
                <c:pt idx="105">
                  <c:v>85.924707268111973</c:v>
                </c:pt>
                <c:pt idx="106">
                  <c:v>86.115613626236581</c:v>
                </c:pt>
                <c:pt idx="107">
                  <c:v>86.228175326405108</c:v>
                </c:pt>
                <c:pt idx="108">
                  <c:v>86.302414151319454</c:v>
                </c:pt>
                <c:pt idx="109">
                  <c:v>86.339296965286877</c:v>
                </c:pt>
                <c:pt idx="110">
                  <c:v>86.412596047014972</c:v>
                </c:pt>
                <c:pt idx="111">
                  <c:v>86.485281740116847</c:v>
                </c:pt>
                <c:pt idx="112">
                  <c:v>86.557364225493345</c:v>
                </c:pt>
                <c:pt idx="113">
                  <c:v>86.679378593175372</c:v>
                </c:pt>
                <c:pt idx="114">
                  <c:v>86.808995971078048</c:v>
                </c:pt>
                <c:pt idx="115">
                  <c:v>86.870090522409072</c:v>
                </c:pt>
                <c:pt idx="116">
                  <c:v>86.939857079325478</c:v>
                </c:pt>
                <c:pt idx="117">
                  <c:v>86.939857079325478</c:v>
                </c:pt>
                <c:pt idx="118">
                  <c:v>87.043467329401111</c:v>
                </c:pt>
                <c:pt idx="119">
                  <c:v>87.145856212121728</c:v>
                </c:pt>
                <c:pt idx="120">
                  <c:v>87.21345102514934</c:v>
                </c:pt>
                <c:pt idx="121">
                  <c:v>87.21345102514934</c:v>
                </c:pt>
                <c:pt idx="122">
                  <c:v>87.280523865301106</c:v>
                </c:pt>
                <c:pt idx="123">
                  <c:v>87.347082732279645</c:v>
                </c:pt>
                <c:pt idx="124">
                  <c:v>87.413135443281348</c:v>
                </c:pt>
                <c:pt idx="125">
                  <c:v>87.478689638506083</c:v>
                </c:pt>
                <c:pt idx="126">
                  <c:v>87.541252786460532</c:v>
                </c:pt>
                <c:pt idx="127">
                  <c:v>87.564332189064487</c:v>
                </c:pt>
                <c:pt idx="128">
                  <c:v>87.585934986568716</c:v>
                </c:pt>
                <c:pt idx="129">
                  <c:v>87.604309846699863</c:v>
                </c:pt>
                <c:pt idx="130">
                  <c:v>87.667710782489991</c:v>
                </c:pt>
                <c:pt idx="131">
                  <c:v>87.647710782489995</c:v>
                </c:pt>
                <c:pt idx="132">
                  <c:v>87.663152287173716</c:v>
                </c:pt>
                <c:pt idx="133">
                  <c:v>87.711417532729115</c:v>
                </c:pt>
                <c:pt idx="134">
                  <c:v>87.702783303986322</c:v>
                </c:pt>
                <c:pt idx="135">
                  <c:v>87.723585616370542</c:v>
                </c:pt>
                <c:pt idx="136">
                  <c:v>87.777954106054949</c:v>
                </c:pt>
                <c:pt idx="137">
                  <c:v>87.86890666106936</c:v>
                </c:pt>
                <c:pt idx="138">
                  <c:v>87.951816863863854</c:v>
                </c:pt>
                <c:pt idx="139">
                  <c:v>88.145497225448011</c:v>
                </c:pt>
                <c:pt idx="140">
                  <c:v>88.177497225448008</c:v>
                </c:pt>
                <c:pt idx="141">
                  <c:v>88.177497225448008</c:v>
                </c:pt>
                <c:pt idx="142">
                  <c:v>88.177497225448008</c:v>
                </c:pt>
                <c:pt idx="143">
                  <c:v>88.029016863863859</c:v>
                </c:pt>
                <c:pt idx="144">
                  <c:v>87.724217532729114</c:v>
                </c:pt>
                <c:pt idx="145">
                  <c:v>87.245974384620894</c:v>
                </c:pt>
                <c:pt idx="146">
                  <c:v>86.739857079325475</c:v>
                </c:pt>
                <c:pt idx="147">
                  <c:v>86.385281740116852</c:v>
                </c:pt>
                <c:pt idx="148">
                  <c:v>86.202414151319459</c:v>
                </c:pt>
                <c:pt idx="149">
                  <c:v>86.177271294176606</c:v>
                </c:pt>
                <c:pt idx="150">
                  <c:v>86.089271294176598</c:v>
                </c:pt>
                <c:pt idx="151">
                  <c:v>86.002414151319456</c:v>
                </c:pt>
                <c:pt idx="152">
                  <c:v>86.185281740116849</c:v>
                </c:pt>
                <c:pt idx="153">
                  <c:v>86.711860514563838</c:v>
                </c:pt>
                <c:pt idx="154">
                  <c:v>86.906523865301097</c:v>
                </c:pt>
                <c:pt idx="155">
                  <c:v>87.11572438462089</c:v>
                </c:pt>
                <c:pt idx="156">
                  <c:v>87.145974384620899</c:v>
                </c:pt>
                <c:pt idx="157">
                  <c:v>86.980523865301109</c:v>
                </c:pt>
                <c:pt idx="158">
                  <c:v>86.811860514563847</c:v>
                </c:pt>
                <c:pt idx="159">
                  <c:v>86.639857079325481</c:v>
                </c:pt>
                <c:pt idx="160">
                  <c:v>86.639857079325481</c:v>
                </c:pt>
                <c:pt idx="161">
                  <c:v>86.602657079325468</c:v>
                </c:pt>
                <c:pt idx="162">
                  <c:v>86.384578593175377</c:v>
                </c:pt>
                <c:pt idx="163">
                  <c:v>86.364378593175374</c:v>
                </c:pt>
                <c:pt idx="164">
                  <c:v>86.539857079325472</c:v>
                </c:pt>
                <c:pt idx="165">
                  <c:v>86.711860514563838</c:v>
                </c:pt>
                <c:pt idx="166">
                  <c:v>86.8805238653011</c:v>
                </c:pt>
                <c:pt idx="167">
                  <c:v>87.045974384620891</c:v>
                </c:pt>
                <c:pt idx="168">
                  <c:v>86.835614774392013</c:v>
                </c:pt>
                <c:pt idx="169">
                  <c:v>86.448584352052748</c:v>
                </c:pt>
                <c:pt idx="170">
                  <c:v>86.049281740116854</c:v>
                </c:pt>
                <c:pt idx="171">
                  <c:v>86.005281740116857</c:v>
                </c:pt>
                <c:pt idx="172">
                  <c:v>86.188993977790759</c:v>
                </c:pt>
                <c:pt idx="173">
                  <c:v>86.581091283794606</c:v>
                </c:pt>
                <c:pt idx="174">
                  <c:v>87.108332189064484</c:v>
                </c:pt>
                <c:pt idx="175">
                  <c:v>87.267710782489999</c:v>
                </c:pt>
                <c:pt idx="176">
                  <c:v>87.424217532729116</c:v>
                </c:pt>
                <c:pt idx="177">
                  <c:v>87.620620772721608</c:v>
                </c:pt>
                <c:pt idx="178">
                  <c:v>87.962830558781334</c:v>
                </c:pt>
                <c:pt idx="179">
                  <c:v>88.238303692820452</c:v>
                </c:pt>
                <c:pt idx="180">
                  <c:v>88.195803692820462</c:v>
                </c:pt>
                <c:pt idx="181">
                  <c:v>88.232053692820458</c:v>
                </c:pt>
                <c:pt idx="182">
                  <c:v>87.669217532729107</c:v>
                </c:pt>
                <c:pt idx="183">
                  <c:v>86.839857079325469</c:v>
                </c:pt>
                <c:pt idx="184">
                  <c:v>86.302414151319454</c:v>
                </c:pt>
                <c:pt idx="185">
                  <c:v>86.115613626236581</c:v>
                </c:pt>
                <c:pt idx="186">
                  <c:v>85.887865162848826</c:v>
                </c:pt>
                <c:pt idx="187">
                  <c:v>85.648457890749924</c:v>
                </c:pt>
                <c:pt idx="188">
                  <c:v>85.58151052232887</c:v>
                </c:pt>
                <c:pt idx="189">
                  <c:v>85.493510522328876</c:v>
                </c:pt>
                <c:pt idx="190">
                  <c:v>86.160519835354947</c:v>
                </c:pt>
                <c:pt idx="191">
                  <c:v>86.766238151015386</c:v>
                </c:pt>
                <c:pt idx="192">
                  <c:v>86.675306473996756</c:v>
                </c:pt>
                <c:pt idx="193">
                  <c:v>86.20681360106461</c:v>
                </c:pt>
                <c:pt idx="194">
                  <c:v>86.744853928194914</c:v>
                </c:pt>
                <c:pt idx="195">
                  <c:v>86.867710782489993</c:v>
                </c:pt>
                <c:pt idx="196">
                  <c:v>86.708332189064478</c:v>
                </c:pt>
                <c:pt idx="197">
                  <c:v>85.84357859317538</c:v>
                </c:pt>
                <c:pt idx="198">
                  <c:v>85.250813626236592</c:v>
                </c:pt>
                <c:pt idx="199">
                  <c:v>85.205613626236584</c:v>
                </c:pt>
                <c:pt idx="200">
                  <c:v>85.163470769093735</c:v>
                </c:pt>
                <c:pt idx="201">
                  <c:v>85.119899340522295</c:v>
                </c:pt>
                <c:pt idx="202">
                  <c:v>84.999751557271068</c:v>
                </c:pt>
                <c:pt idx="203">
                  <c:v>85.237005878047881</c:v>
                </c:pt>
                <c:pt idx="204">
                  <c:v>84.570040601445314</c:v>
                </c:pt>
                <c:pt idx="205">
                  <c:v>83.670800793666487</c:v>
                </c:pt>
                <c:pt idx="206">
                  <c:v>83.599164430030115</c:v>
                </c:pt>
                <c:pt idx="207">
                  <c:v>84.168904461722818</c:v>
                </c:pt>
                <c:pt idx="208">
                  <c:v>84.120367665186009</c:v>
                </c:pt>
                <c:pt idx="209">
                  <c:v>84.789281740116849</c:v>
                </c:pt>
                <c:pt idx="210">
                  <c:v>84.518414151319462</c:v>
                </c:pt>
                <c:pt idx="211">
                  <c:v>84.650146604981714</c:v>
                </c:pt>
                <c:pt idx="212">
                  <c:v>84.784919133715917</c:v>
                </c:pt>
                <c:pt idx="213">
                  <c:v>84.047707268111978</c:v>
                </c:pt>
                <c:pt idx="214">
                  <c:v>84.468914151319453</c:v>
                </c:pt>
                <c:pt idx="215">
                  <c:v>84.347042197665161</c:v>
                </c:pt>
                <c:pt idx="216">
                  <c:v>84.662414151319453</c:v>
                </c:pt>
                <c:pt idx="217">
                  <c:v>85.674809579586821</c:v>
                </c:pt>
                <c:pt idx="218">
                  <c:v>86.240581169092749</c:v>
                </c:pt>
                <c:pt idx="219">
                  <c:v>86.749845636641609</c:v>
                </c:pt>
                <c:pt idx="220">
                  <c:v>87.194056472282853</c:v>
                </c:pt>
                <c:pt idx="221">
                  <c:v>87.590635246729846</c:v>
                </c:pt>
                <c:pt idx="222">
                  <c:v>87.001656472282846</c:v>
                </c:pt>
                <c:pt idx="223">
                  <c:v>87.572235246729832</c:v>
                </c:pt>
                <c:pt idx="224">
                  <c:v>87.585450061544648</c:v>
                </c:pt>
                <c:pt idx="225">
                  <c:v>87.413598209692807</c:v>
                </c:pt>
                <c:pt idx="226">
                  <c:v>87.10861971328832</c:v>
                </c:pt>
                <c:pt idx="227">
                  <c:v>87.136951036203527</c:v>
                </c:pt>
                <c:pt idx="228">
                  <c:v>86.656618862304327</c:v>
                </c:pt>
                <c:pt idx="229">
                  <c:v>85.923482000277971</c:v>
                </c:pt>
                <c:pt idx="230">
                  <c:v>85.629016863863853</c:v>
                </c:pt>
                <c:pt idx="231">
                  <c:v>84.680523865301097</c:v>
                </c:pt>
                <c:pt idx="232">
                  <c:v>85.324217532729108</c:v>
                </c:pt>
                <c:pt idx="233">
                  <c:v>86.48288000169461</c:v>
                </c:pt>
                <c:pt idx="234">
                  <c:v>87.932022955868007</c:v>
                </c:pt>
                <c:pt idx="235">
                  <c:v>89.160698670902619</c:v>
                </c:pt>
                <c:pt idx="236">
                  <c:v>91.088310695769621</c:v>
                </c:pt>
                <c:pt idx="237">
                  <c:v>90.601123778580728</c:v>
                </c:pt>
                <c:pt idx="238">
                  <c:v>89.241461027545455</c:v>
                </c:pt>
                <c:pt idx="239">
                  <c:v>89.023512309596725</c:v>
                </c:pt>
                <c:pt idx="240">
                  <c:v>88.125151370247067</c:v>
                </c:pt>
                <c:pt idx="241">
                  <c:v>86.559285262769762</c:v>
                </c:pt>
                <c:pt idx="242">
                  <c:v>88.458303206692833</c:v>
                </c:pt>
                <c:pt idx="243">
                  <c:v>90.149851642573992</c:v>
                </c:pt>
                <c:pt idx="244">
                  <c:v>89.392640900651074</c:v>
                </c:pt>
                <c:pt idx="245">
                  <c:v>88.767694915662915</c:v>
                </c:pt>
                <c:pt idx="246">
                  <c:v>87.703915054268279</c:v>
                </c:pt>
                <c:pt idx="247">
                  <c:v>84.723482000277983</c:v>
                </c:pt>
                <c:pt idx="248">
                  <c:v>83.808332189064487</c:v>
                </c:pt>
                <c:pt idx="249">
                  <c:v>83.143253305740572</c:v>
                </c:pt>
                <c:pt idx="250">
                  <c:v>84.769897094617605</c:v>
                </c:pt>
                <c:pt idx="251">
                  <c:v>87.09310376339586</c:v>
                </c:pt>
                <c:pt idx="252">
                  <c:v>88.345307181391604</c:v>
                </c:pt>
                <c:pt idx="253">
                  <c:v>88.704876890253473</c:v>
                </c:pt>
                <c:pt idx="254">
                  <c:v>87.420280789655294</c:v>
                </c:pt>
                <c:pt idx="255">
                  <c:v>87.950148430277778</c:v>
                </c:pt>
                <c:pt idx="256">
                  <c:v>87.84163907728545</c:v>
                </c:pt>
              </c:numCache>
            </c:numRef>
          </c:yVal>
        </c:ser>
        <c:axId val="53356416"/>
        <c:axId val="53379072"/>
      </c:scatterChart>
      <c:valAx>
        <c:axId val="53356416"/>
        <c:scaling>
          <c:logBase val="10"/>
          <c:orientation val="minMax"/>
          <c:max val="3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9196528508552009"/>
              <c:y val="0.86535688247302933"/>
            </c:manualLayout>
          </c:layout>
        </c:title>
        <c:numFmt formatCode="General" sourceLinked="1"/>
        <c:tickLblPos val="nextTo"/>
        <c:crossAx val="53379072"/>
        <c:crossesAt val="-30"/>
        <c:crossBetween val="midCat"/>
      </c:valAx>
      <c:valAx>
        <c:axId val="53379072"/>
        <c:scaling>
          <c:orientation val="minMax"/>
          <c:max val="100"/>
          <c:min val="6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[dB]</a:t>
                </a:r>
              </a:p>
            </c:rich>
          </c:tx>
          <c:layout>
            <c:manualLayout>
              <c:xMode val="edge"/>
              <c:yMode val="edge"/>
              <c:x val="0"/>
              <c:y val="6.4734450561686724E-2"/>
            </c:manualLayout>
          </c:layout>
        </c:title>
        <c:numFmt formatCode="General" sourceLinked="1"/>
        <c:tickLblPos val="nextTo"/>
        <c:crossAx val="53356416"/>
        <c:crosses val="autoZero"/>
        <c:crossBetween val="midCat"/>
        <c:majorUnit val="5"/>
      </c:valAx>
    </c:plotArea>
    <c:legend>
      <c:legendPos val="b"/>
      <c:layout>
        <c:manualLayout>
          <c:xMode val="edge"/>
          <c:yMode val="edge"/>
          <c:x val="0.11378472305190621"/>
          <c:y val="0.91628280839894949"/>
          <c:w val="0.73829419623782089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5057643111066976"/>
          <c:y val="5.1400554097404488E-2"/>
          <c:w val="0.7864024718429099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'B80-8'!$I$17</c:f>
              <c:strCache>
                <c:ptCount val="1"/>
                <c:pt idx="0">
                  <c:v>B80-8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'B80-8'!$B$18:$B$274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'B80-8'!$J$18:$J$274</c:f>
              <c:numCache>
                <c:formatCode>General</c:formatCode>
                <c:ptCount val="257"/>
                <c:pt idx="0">
                  <c:v>176.44</c:v>
                </c:pt>
                <c:pt idx="1">
                  <c:v>176.34</c:v>
                </c:pt>
                <c:pt idx="2">
                  <c:v>176.23</c:v>
                </c:pt>
                <c:pt idx="3">
                  <c:v>176.12</c:v>
                </c:pt>
                <c:pt idx="4">
                  <c:v>176.01</c:v>
                </c:pt>
                <c:pt idx="5">
                  <c:v>175.89</c:v>
                </c:pt>
                <c:pt idx="6">
                  <c:v>175.77</c:v>
                </c:pt>
                <c:pt idx="7">
                  <c:v>175.64</c:v>
                </c:pt>
                <c:pt idx="8">
                  <c:v>175.51</c:v>
                </c:pt>
                <c:pt idx="9">
                  <c:v>175.38</c:v>
                </c:pt>
                <c:pt idx="10">
                  <c:v>175.24</c:v>
                </c:pt>
                <c:pt idx="11">
                  <c:v>175.09</c:v>
                </c:pt>
                <c:pt idx="12">
                  <c:v>174.94</c:v>
                </c:pt>
                <c:pt idx="13">
                  <c:v>174.79</c:v>
                </c:pt>
                <c:pt idx="14">
                  <c:v>174.63</c:v>
                </c:pt>
                <c:pt idx="15">
                  <c:v>174.46</c:v>
                </c:pt>
                <c:pt idx="16">
                  <c:v>174.29</c:v>
                </c:pt>
                <c:pt idx="17">
                  <c:v>174.11</c:v>
                </c:pt>
                <c:pt idx="18">
                  <c:v>173.93</c:v>
                </c:pt>
                <c:pt idx="19">
                  <c:v>173.74</c:v>
                </c:pt>
                <c:pt idx="20">
                  <c:v>173.54</c:v>
                </c:pt>
                <c:pt idx="21">
                  <c:v>173.33</c:v>
                </c:pt>
                <c:pt idx="22">
                  <c:v>173.11</c:v>
                </c:pt>
                <c:pt idx="23">
                  <c:v>172.89</c:v>
                </c:pt>
                <c:pt idx="24">
                  <c:v>172.66</c:v>
                </c:pt>
                <c:pt idx="25">
                  <c:v>172.41</c:v>
                </c:pt>
                <c:pt idx="26">
                  <c:v>172.16</c:v>
                </c:pt>
                <c:pt idx="27">
                  <c:v>171.9</c:v>
                </c:pt>
                <c:pt idx="28">
                  <c:v>171.62</c:v>
                </c:pt>
                <c:pt idx="29">
                  <c:v>171.33</c:v>
                </c:pt>
                <c:pt idx="30">
                  <c:v>171.03</c:v>
                </c:pt>
                <c:pt idx="31">
                  <c:v>170.72</c:v>
                </c:pt>
                <c:pt idx="32">
                  <c:v>170.39</c:v>
                </c:pt>
                <c:pt idx="33">
                  <c:v>170.04</c:v>
                </c:pt>
                <c:pt idx="34">
                  <c:v>169.68</c:v>
                </c:pt>
                <c:pt idx="35">
                  <c:v>169.3</c:v>
                </c:pt>
                <c:pt idx="36">
                  <c:v>168.91</c:v>
                </c:pt>
                <c:pt idx="37">
                  <c:v>168.49</c:v>
                </c:pt>
                <c:pt idx="38">
                  <c:v>168.05</c:v>
                </c:pt>
                <c:pt idx="39">
                  <c:v>167.6</c:v>
                </c:pt>
                <c:pt idx="40">
                  <c:v>167.11</c:v>
                </c:pt>
                <c:pt idx="41">
                  <c:v>166.6</c:v>
                </c:pt>
                <c:pt idx="42">
                  <c:v>166.07</c:v>
                </c:pt>
                <c:pt idx="43">
                  <c:v>165.5</c:v>
                </c:pt>
                <c:pt idx="44">
                  <c:v>164.91</c:v>
                </c:pt>
                <c:pt idx="45">
                  <c:v>164.28</c:v>
                </c:pt>
                <c:pt idx="46">
                  <c:v>163.62</c:v>
                </c:pt>
                <c:pt idx="47">
                  <c:v>162.91999999999999</c:v>
                </c:pt>
                <c:pt idx="48">
                  <c:v>162.18</c:v>
                </c:pt>
                <c:pt idx="49">
                  <c:v>161.38999999999999</c:v>
                </c:pt>
                <c:pt idx="50">
                  <c:v>160.56</c:v>
                </c:pt>
                <c:pt idx="51">
                  <c:v>159.69</c:v>
                </c:pt>
                <c:pt idx="52">
                  <c:v>158.75</c:v>
                </c:pt>
                <c:pt idx="53">
                  <c:v>157.77000000000001</c:v>
                </c:pt>
                <c:pt idx="54">
                  <c:v>156.72</c:v>
                </c:pt>
                <c:pt idx="55">
                  <c:v>155.61000000000001</c:v>
                </c:pt>
                <c:pt idx="56">
                  <c:v>154.43</c:v>
                </c:pt>
                <c:pt idx="57">
                  <c:v>153.19</c:v>
                </c:pt>
                <c:pt idx="58">
                  <c:v>151.86000000000001</c:v>
                </c:pt>
                <c:pt idx="59">
                  <c:v>150.46</c:v>
                </c:pt>
                <c:pt idx="60">
                  <c:v>148.97</c:v>
                </c:pt>
                <c:pt idx="61">
                  <c:v>147.38999999999999</c:v>
                </c:pt>
                <c:pt idx="62">
                  <c:v>145.72</c:v>
                </c:pt>
                <c:pt idx="63">
                  <c:v>143.94999999999999</c:v>
                </c:pt>
                <c:pt idx="64">
                  <c:v>142.09</c:v>
                </c:pt>
                <c:pt idx="65">
                  <c:v>140.12</c:v>
                </c:pt>
                <c:pt idx="66">
                  <c:v>138.05000000000001</c:v>
                </c:pt>
                <c:pt idx="67">
                  <c:v>135.87</c:v>
                </c:pt>
                <c:pt idx="68">
                  <c:v>133.59</c:v>
                </c:pt>
                <c:pt idx="69">
                  <c:v>131.21</c:v>
                </c:pt>
                <c:pt idx="70">
                  <c:v>128.72999999999999</c:v>
                </c:pt>
                <c:pt idx="71">
                  <c:v>126.16</c:v>
                </c:pt>
                <c:pt idx="72">
                  <c:v>123.5</c:v>
                </c:pt>
                <c:pt idx="73">
                  <c:v>120.76</c:v>
                </c:pt>
                <c:pt idx="74">
                  <c:v>117.96</c:v>
                </c:pt>
                <c:pt idx="75">
                  <c:v>115.1</c:v>
                </c:pt>
                <c:pt idx="76">
                  <c:v>112.21</c:v>
                </c:pt>
                <c:pt idx="77">
                  <c:v>109.32</c:v>
                </c:pt>
                <c:pt idx="78">
                  <c:v>106.44</c:v>
                </c:pt>
                <c:pt idx="79">
                  <c:v>103.61</c:v>
                </c:pt>
                <c:pt idx="80">
                  <c:v>100.83</c:v>
                </c:pt>
                <c:pt idx="81">
                  <c:v>98.105999999999995</c:v>
                </c:pt>
                <c:pt idx="82">
                  <c:v>95.447999999999993</c:v>
                </c:pt>
                <c:pt idx="83">
                  <c:v>92.846000000000004</c:v>
                </c:pt>
                <c:pt idx="84">
                  <c:v>90.292000000000002</c:v>
                </c:pt>
                <c:pt idx="85">
                  <c:v>87.78</c:v>
                </c:pt>
                <c:pt idx="86">
                  <c:v>85.325000000000003</c:v>
                </c:pt>
                <c:pt idx="87">
                  <c:v>82.94</c:v>
                </c:pt>
                <c:pt idx="88">
                  <c:v>80.644999999999996</c:v>
                </c:pt>
                <c:pt idx="89">
                  <c:v>78.465999999999994</c:v>
                </c:pt>
                <c:pt idx="90">
                  <c:v>76.396000000000001</c:v>
                </c:pt>
                <c:pt idx="91">
                  <c:v>74.41</c:v>
                </c:pt>
                <c:pt idx="92">
                  <c:v>72.453999999999994</c:v>
                </c:pt>
                <c:pt idx="93">
                  <c:v>70.489000000000004</c:v>
                </c:pt>
                <c:pt idx="94">
                  <c:v>68.504999999999995</c:v>
                </c:pt>
                <c:pt idx="95">
                  <c:v>66.522000000000006</c:v>
                </c:pt>
                <c:pt idx="96">
                  <c:v>64.634</c:v>
                </c:pt>
                <c:pt idx="97">
                  <c:v>62.862000000000002</c:v>
                </c:pt>
                <c:pt idx="98">
                  <c:v>61.218000000000004</c:v>
                </c:pt>
                <c:pt idx="99">
                  <c:v>59.823</c:v>
                </c:pt>
                <c:pt idx="100">
                  <c:v>58.591000000000001</c:v>
                </c:pt>
                <c:pt idx="101">
                  <c:v>57.472000000000001</c:v>
                </c:pt>
                <c:pt idx="102">
                  <c:v>56.438000000000002</c:v>
                </c:pt>
                <c:pt idx="103">
                  <c:v>55.334000000000003</c:v>
                </c:pt>
                <c:pt idx="104">
                  <c:v>54.15</c:v>
                </c:pt>
                <c:pt idx="105">
                  <c:v>53.023000000000003</c:v>
                </c:pt>
                <c:pt idx="106">
                  <c:v>52.088999999999999</c:v>
                </c:pt>
                <c:pt idx="107">
                  <c:v>51.298000000000002</c:v>
                </c:pt>
                <c:pt idx="108">
                  <c:v>50.756999999999998</c:v>
                </c:pt>
                <c:pt idx="109">
                  <c:v>50.429000000000002</c:v>
                </c:pt>
                <c:pt idx="110">
                  <c:v>49.991999999999997</c:v>
                </c:pt>
                <c:pt idx="111">
                  <c:v>48.335999999999999</c:v>
                </c:pt>
                <c:pt idx="112">
                  <c:v>45.481000000000002</c:v>
                </c:pt>
                <c:pt idx="113">
                  <c:v>41.457999999999998</c:v>
                </c:pt>
                <c:pt idx="114">
                  <c:v>36.652000000000001</c:v>
                </c:pt>
                <c:pt idx="115">
                  <c:v>33.786999999999999</c:v>
                </c:pt>
                <c:pt idx="116">
                  <c:v>32.643999999999998</c:v>
                </c:pt>
                <c:pt idx="117">
                  <c:v>32.369999999999997</c:v>
                </c:pt>
                <c:pt idx="118">
                  <c:v>32.159999999999997</c:v>
                </c:pt>
                <c:pt idx="119">
                  <c:v>30.794</c:v>
                </c:pt>
                <c:pt idx="120">
                  <c:v>28.7</c:v>
                </c:pt>
                <c:pt idx="121">
                  <c:v>26.635000000000002</c:v>
                </c:pt>
                <c:pt idx="122">
                  <c:v>24.997</c:v>
                </c:pt>
                <c:pt idx="123">
                  <c:v>23.667000000000002</c:v>
                </c:pt>
                <c:pt idx="124">
                  <c:v>22.355</c:v>
                </c:pt>
                <c:pt idx="125">
                  <c:v>21.041</c:v>
                </c:pt>
                <c:pt idx="126">
                  <c:v>19.754999999999999</c:v>
                </c:pt>
                <c:pt idx="127">
                  <c:v>18.678000000000001</c:v>
                </c:pt>
                <c:pt idx="128">
                  <c:v>18.100999999999999</c:v>
                </c:pt>
                <c:pt idx="129">
                  <c:v>17.989000000000001</c:v>
                </c:pt>
                <c:pt idx="130">
                  <c:v>18.206</c:v>
                </c:pt>
                <c:pt idx="131">
                  <c:v>18.68</c:v>
                </c:pt>
                <c:pt idx="132">
                  <c:v>19.135999999999999</c:v>
                </c:pt>
                <c:pt idx="133">
                  <c:v>19.346</c:v>
                </c:pt>
                <c:pt idx="134">
                  <c:v>19.265999999999998</c:v>
                </c:pt>
                <c:pt idx="135">
                  <c:v>18.800999999999998</c:v>
                </c:pt>
                <c:pt idx="136">
                  <c:v>17.885000000000002</c:v>
                </c:pt>
                <c:pt idx="137">
                  <c:v>16.515999999999998</c:v>
                </c:pt>
                <c:pt idx="138">
                  <c:v>14.647</c:v>
                </c:pt>
                <c:pt idx="139">
                  <c:v>11.891999999999999</c:v>
                </c:pt>
                <c:pt idx="140">
                  <c:v>8.2116000000000007</c:v>
                </c:pt>
                <c:pt idx="141">
                  <c:v>3.7593999999999999</c:v>
                </c:pt>
                <c:pt idx="142">
                  <c:v>-0.74099999999999999</c:v>
                </c:pt>
                <c:pt idx="143">
                  <c:v>-3.9529999999999998</c:v>
                </c:pt>
                <c:pt idx="144">
                  <c:v>-6.0579999999999998</c:v>
                </c:pt>
                <c:pt idx="145">
                  <c:v>-6.9530000000000003</c:v>
                </c:pt>
                <c:pt idx="146">
                  <c:v>-6.8230000000000004</c:v>
                </c:pt>
                <c:pt idx="147">
                  <c:v>-6.7530000000000001</c:v>
                </c:pt>
                <c:pt idx="148">
                  <c:v>-7.5750000000000002</c:v>
                </c:pt>
                <c:pt idx="149">
                  <c:v>-10.67</c:v>
                </c:pt>
                <c:pt idx="150">
                  <c:v>-15.59</c:v>
                </c:pt>
                <c:pt idx="151">
                  <c:v>-20.53</c:v>
                </c:pt>
                <c:pt idx="152">
                  <c:v>-23.79</c:v>
                </c:pt>
                <c:pt idx="153">
                  <c:v>-24.49</c:v>
                </c:pt>
                <c:pt idx="154">
                  <c:v>-24.12</c:v>
                </c:pt>
                <c:pt idx="155">
                  <c:v>-24.38</c:v>
                </c:pt>
                <c:pt idx="156">
                  <c:v>-25.78</c:v>
                </c:pt>
                <c:pt idx="157">
                  <c:v>-27.52</c:v>
                </c:pt>
                <c:pt idx="158">
                  <c:v>-28.04</c:v>
                </c:pt>
                <c:pt idx="159">
                  <c:v>-27.03</c:v>
                </c:pt>
                <c:pt idx="160">
                  <c:v>-25.93</c:v>
                </c:pt>
                <c:pt idx="161">
                  <c:v>-26.24</c:v>
                </c:pt>
                <c:pt idx="162">
                  <c:v>-27.48</c:v>
                </c:pt>
                <c:pt idx="163">
                  <c:v>-27.76</c:v>
                </c:pt>
                <c:pt idx="164">
                  <c:v>-26.71</c:v>
                </c:pt>
                <c:pt idx="165">
                  <c:v>-25.92</c:v>
                </c:pt>
                <c:pt idx="166">
                  <c:v>-27.63</c:v>
                </c:pt>
                <c:pt idx="167">
                  <c:v>-32.42</c:v>
                </c:pt>
                <c:pt idx="168">
                  <c:v>-36.979999999999997</c:v>
                </c:pt>
                <c:pt idx="169">
                  <c:v>-37.89</c:v>
                </c:pt>
                <c:pt idx="170">
                  <c:v>-36.11</c:v>
                </c:pt>
                <c:pt idx="171">
                  <c:v>-35</c:v>
                </c:pt>
                <c:pt idx="172">
                  <c:v>-36.99</c:v>
                </c:pt>
                <c:pt idx="173">
                  <c:v>-40.79</c:v>
                </c:pt>
                <c:pt idx="174">
                  <c:v>-44.4</c:v>
                </c:pt>
                <c:pt idx="175">
                  <c:v>-49.1</c:v>
                </c:pt>
                <c:pt idx="176">
                  <c:v>-55.5</c:v>
                </c:pt>
                <c:pt idx="177">
                  <c:v>-61.76</c:v>
                </c:pt>
                <c:pt idx="178">
                  <c:v>-67.36</c:v>
                </c:pt>
                <c:pt idx="179">
                  <c:v>-72.790000000000006</c:v>
                </c:pt>
                <c:pt idx="180">
                  <c:v>-75.69</c:v>
                </c:pt>
                <c:pt idx="181">
                  <c:v>-75.12</c:v>
                </c:pt>
                <c:pt idx="182">
                  <c:v>-75.45</c:v>
                </c:pt>
                <c:pt idx="183">
                  <c:v>-76.56</c:v>
                </c:pt>
                <c:pt idx="184">
                  <c:v>-73.02</c:v>
                </c:pt>
                <c:pt idx="185">
                  <c:v>-67.45</c:v>
                </c:pt>
                <c:pt idx="186">
                  <c:v>-64.319999999999993</c:v>
                </c:pt>
                <c:pt idx="187">
                  <c:v>-61.63</c:v>
                </c:pt>
                <c:pt idx="188">
                  <c:v>-60.29</c:v>
                </c:pt>
                <c:pt idx="189">
                  <c:v>-59.75</c:v>
                </c:pt>
                <c:pt idx="190">
                  <c:v>-60.15</c:v>
                </c:pt>
                <c:pt idx="191">
                  <c:v>-64.650000000000006</c:v>
                </c:pt>
                <c:pt idx="192">
                  <c:v>-69.510000000000005</c:v>
                </c:pt>
                <c:pt idx="193">
                  <c:v>-76.69</c:v>
                </c:pt>
                <c:pt idx="194">
                  <c:v>-83.18</c:v>
                </c:pt>
                <c:pt idx="195">
                  <c:v>-85.39</c:v>
                </c:pt>
                <c:pt idx="196">
                  <c:v>-88.89</c:v>
                </c:pt>
                <c:pt idx="197">
                  <c:v>-92.45</c:v>
                </c:pt>
                <c:pt idx="198">
                  <c:v>-97.43</c:v>
                </c:pt>
                <c:pt idx="199">
                  <c:v>-102.9</c:v>
                </c:pt>
                <c:pt idx="200">
                  <c:v>-109.8</c:v>
                </c:pt>
                <c:pt idx="201">
                  <c:v>-115.9</c:v>
                </c:pt>
                <c:pt idx="202">
                  <c:v>-123.1</c:v>
                </c:pt>
                <c:pt idx="203">
                  <c:v>-128.4</c:v>
                </c:pt>
                <c:pt idx="204">
                  <c:v>-133.80000000000001</c:v>
                </c:pt>
                <c:pt idx="205">
                  <c:v>-137.80000000000001</c:v>
                </c:pt>
                <c:pt idx="206">
                  <c:v>-140.1</c:v>
                </c:pt>
                <c:pt idx="207">
                  <c:v>-141.4</c:v>
                </c:pt>
                <c:pt idx="208">
                  <c:v>-141.30000000000001</c:v>
                </c:pt>
                <c:pt idx="209">
                  <c:v>-140.5</c:v>
                </c:pt>
                <c:pt idx="210">
                  <c:v>-138.5</c:v>
                </c:pt>
                <c:pt idx="211">
                  <c:v>-134.30000000000001</c:v>
                </c:pt>
                <c:pt idx="212">
                  <c:v>-128</c:v>
                </c:pt>
                <c:pt idx="213">
                  <c:v>-120.8</c:v>
                </c:pt>
                <c:pt idx="214">
                  <c:v>-115.3</c:v>
                </c:pt>
                <c:pt idx="215">
                  <c:v>-115.1</c:v>
                </c:pt>
                <c:pt idx="216">
                  <c:v>-122</c:v>
                </c:pt>
                <c:pt idx="217">
                  <c:v>-134.19999999999999</c:v>
                </c:pt>
                <c:pt idx="218">
                  <c:v>-147.69999999999999</c:v>
                </c:pt>
                <c:pt idx="219">
                  <c:v>-158.5</c:v>
                </c:pt>
                <c:pt idx="220">
                  <c:v>-165.5</c:v>
                </c:pt>
                <c:pt idx="221">
                  <c:v>-171.3</c:v>
                </c:pt>
                <c:pt idx="222">
                  <c:v>-178</c:v>
                </c:pt>
                <c:pt idx="223">
                  <c:v>172.5</c:v>
                </c:pt>
                <c:pt idx="224">
                  <c:v>160.24</c:v>
                </c:pt>
                <c:pt idx="225">
                  <c:v>147.19999999999999</c:v>
                </c:pt>
                <c:pt idx="226">
                  <c:v>133.61000000000001</c:v>
                </c:pt>
                <c:pt idx="227">
                  <c:v>119.39</c:v>
                </c:pt>
                <c:pt idx="228">
                  <c:v>105.36</c:v>
                </c:pt>
                <c:pt idx="229">
                  <c:v>92.004999999999995</c:v>
                </c:pt>
                <c:pt idx="230">
                  <c:v>81.997</c:v>
                </c:pt>
                <c:pt idx="231">
                  <c:v>74.155000000000001</c:v>
                </c:pt>
                <c:pt idx="232">
                  <c:v>66.923000000000002</c:v>
                </c:pt>
                <c:pt idx="233">
                  <c:v>59.652999999999999</c:v>
                </c:pt>
                <c:pt idx="234">
                  <c:v>52.470999999999997</c:v>
                </c:pt>
                <c:pt idx="235">
                  <c:v>47.356999999999999</c:v>
                </c:pt>
                <c:pt idx="236">
                  <c:v>46.972999999999999</c:v>
                </c:pt>
                <c:pt idx="237">
                  <c:v>52.189</c:v>
                </c:pt>
                <c:pt idx="238">
                  <c:v>64.331000000000003</c:v>
                </c:pt>
                <c:pt idx="239">
                  <c:v>79.941999999999993</c:v>
                </c:pt>
                <c:pt idx="240">
                  <c:v>90.7</c:v>
                </c:pt>
                <c:pt idx="241">
                  <c:v>89.227999999999994</c:v>
                </c:pt>
                <c:pt idx="242">
                  <c:v>71.828000000000003</c:v>
                </c:pt>
                <c:pt idx="243">
                  <c:v>39.737000000000002</c:v>
                </c:pt>
                <c:pt idx="244">
                  <c:v>7.3093000000000004</c:v>
                </c:pt>
                <c:pt idx="245">
                  <c:v>-13.86</c:v>
                </c:pt>
                <c:pt idx="246">
                  <c:v>-28.62</c:v>
                </c:pt>
                <c:pt idx="247">
                  <c:v>-42.52</c:v>
                </c:pt>
                <c:pt idx="248">
                  <c:v>-57.33</c:v>
                </c:pt>
                <c:pt idx="249">
                  <c:v>-75.930000000000007</c:v>
                </c:pt>
                <c:pt idx="250">
                  <c:v>-99.8</c:v>
                </c:pt>
                <c:pt idx="251">
                  <c:v>-129.6</c:v>
                </c:pt>
                <c:pt idx="252">
                  <c:v>-162.9</c:v>
                </c:pt>
                <c:pt idx="253">
                  <c:v>150.61000000000001</c:v>
                </c:pt>
                <c:pt idx="254">
                  <c:v>91.650999999999996</c:v>
                </c:pt>
                <c:pt idx="255">
                  <c:v>30.109000000000002</c:v>
                </c:pt>
                <c:pt idx="256">
                  <c:v>-8.92</c:v>
                </c:pt>
              </c:numCache>
            </c:numRef>
          </c:yVal>
        </c:ser>
        <c:ser>
          <c:idx val="0"/>
          <c:order val="1"/>
          <c:tx>
            <c:strRef>
              <c:f>'B80-8'!$V$17</c:f>
              <c:strCache>
                <c:ptCount val="1"/>
                <c:pt idx="0">
                  <c:v>B80-8 (1)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'B80-8'!$B$18:$B$274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'B80-8'!$V$18:$V$274</c:f>
              <c:numCache>
                <c:formatCode>General</c:formatCode>
                <c:ptCount val="257"/>
                <c:pt idx="86">
                  <c:v>88.634717570148098</c:v>
                </c:pt>
                <c:pt idx="87">
                  <c:v>86.526650993642292</c:v>
                </c:pt>
                <c:pt idx="88">
                  <c:v>83.629010610832765</c:v>
                </c:pt>
                <c:pt idx="89">
                  <c:v>81.731370228023309</c:v>
                </c:pt>
                <c:pt idx="90">
                  <c:v>80.044156038909961</c:v>
                </c:pt>
                <c:pt idx="91">
                  <c:v>78.567368043492962</c:v>
                </c:pt>
                <c:pt idx="92">
                  <c:v>79.301006241772072</c:v>
                </c:pt>
                <c:pt idx="93">
                  <c:v>79.24507063374746</c:v>
                </c:pt>
                <c:pt idx="94">
                  <c:v>78.399561219418956</c:v>
                </c:pt>
                <c:pt idx="95">
                  <c:v>77.764477998786887</c:v>
                </c:pt>
                <c:pt idx="96">
                  <c:v>76.339820971850941</c:v>
                </c:pt>
                <c:pt idx="97">
                  <c:v>74.91516394491498</c:v>
                </c:pt>
                <c:pt idx="98">
                  <c:v>72.911359305371406</c:v>
                </c:pt>
                <c:pt idx="99">
                  <c:v>70.907554665828002</c:v>
                </c:pt>
                <c:pt idx="100">
                  <c:v>69.324602413676985</c:v>
                </c:pt>
                <c:pt idx="101">
                  <c:v>67.952076355222061</c:v>
                </c:pt>
                <c:pt idx="102">
                  <c:v>66.789976490463587</c:v>
                </c:pt>
                <c:pt idx="103">
                  <c:v>64.838302819401221</c:v>
                </c:pt>
                <c:pt idx="104">
                  <c:v>62.09705534203497</c:v>
                </c:pt>
                <c:pt idx="105">
                  <c:v>59.566234058364991</c:v>
                </c:pt>
                <c:pt idx="106">
                  <c:v>57.456265162087554</c:v>
                </c:pt>
                <c:pt idx="107">
                  <c:v>55.556722459506233</c:v>
                </c:pt>
                <c:pt idx="108">
                  <c:v>53.078032144317447</c:v>
                </c:pt>
                <c:pt idx="109">
                  <c:v>50.599341829128676</c:v>
                </c:pt>
                <c:pt idx="110">
                  <c:v>49.541503901332277</c:v>
                </c:pt>
                <c:pt idx="111">
                  <c:v>48.694092167232142</c:v>
                </c:pt>
                <c:pt idx="112">
                  <c:v>47.267532820524409</c:v>
                </c:pt>
                <c:pt idx="113">
                  <c:v>46.051399667512776</c:v>
                </c:pt>
                <c:pt idx="114">
                  <c:v>44.466545095590121</c:v>
                </c:pt>
                <c:pt idx="115">
                  <c:v>42.881690523667316</c:v>
                </c:pt>
                <c:pt idx="116">
                  <c:v>41.717688339136885</c:v>
                </c:pt>
                <c:pt idx="117">
                  <c:v>40.974538541998996</c:v>
                </c:pt>
                <c:pt idx="118">
                  <c:v>40.441814938557386</c:v>
                </c:pt>
                <c:pt idx="119">
                  <c:v>39.54036991620427</c:v>
                </c:pt>
                <c:pt idx="120">
                  <c:v>37.849351087547589</c:v>
                </c:pt>
                <c:pt idx="121">
                  <c:v>36.579184646283132</c:v>
                </c:pt>
                <c:pt idx="122">
                  <c:v>34.72987059241138</c:v>
                </c:pt>
                <c:pt idx="123">
                  <c:v>32.301408925931852</c:v>
                </c:pt>
                <c:pt idx="124">
                  <c:v>30.293799646844874</c:v>
                </c:pt>
                <c:pt idx="125">
                  <c:v>28.496616561454005</c:v>
                </c:pt>
                <c:pt idx="126">
                  <c:v>28.330712057151946</c:v>
                </c:pt>
                <c:pt idx="127">
                  <c:v>29.796086133938537</c:v>
                </c:pt>
                <c:pt idx="128">
                  <c:v>27.682312598117527</c:v>
                </c:pt>
                <c:pt idx="129">
                  <c:v>24.989391449688902</c:v>
                </c:pt>
                <c:pt idx="130">
                  <c:v>22.717322688652821</c:v>
                </c:pt>
                <c:pt idx="131">
                  <c:v>19.866106315009127</c:v>
                </c:pt>
                <c:pt idx="132">
                  <c:v>17.856594716150518</c:v>
                </c:pt>
                <c:pt idx="133">
                  <c:v>16.267935504683972</c:v>
                </c:pt>
                <c:pt idx="134">
                  <c:v>15.10012868061029</c:v>
                </c:pt>
                <c:pt idx="135">
                  <c:v>14.563600437624942</c:v>
                </c:pt>
                <c:pt idx="136">
                  <c:v>14.658350775728568</c:v>
                </c:pt>
                <c:pt idx="137">
                  <c:v>13.384379694920696</c:v>
                </c:pt>
                <c:pt idx="138">
                  <c:v>12.741687195201479</c:v>
                </c:pt>
                <c:pt idx="139">
                  <c:v>11.519847082874808</c:v>
                </c:pt>
                <c:pt idx="140">
                  <c:v>9.1397117453329102</c:v>
                </c:pt>
                <c:pt idx="141">
                  <c:v>5.6012811825759456</c:v>
                </c:pt>
                <c:pt idx="142">
                  <c:v>2.483703007211524</c:v>
                </c:pt>
                <c:pt idx="143">
                  <c:v>-2.5965870642430389E-3</c:v>
                </c:pt>
                <c:pt idx="144">
                  <c:v>-1.4367652128589725</c:v>
                </c:pt>
                <c:pt idx="145">
                  <c:v>-2.2396552575650475</c:v>
                </c:pt>
                <c:pt idx="146">
                  <c:v>-2.4112667211824679</c:v>
                </c:pt>
                <c:pt idx="147">
                  <c:v>-3.5307472163186837</c:v>
                </c:pt>
                <c:pt idx="148">
                  <c:v>-3.0189491303660887</c:v>
                </c:pt>
                <c:pt idx="149">
                  <c:v>-1.8758724633251589</c:v>
                </c:pt>
                <c:pt idx="150">
                  <c:v>-0.47023863410691646</c:v>
                </c:pt>
                <c:pt idx="151">
                  <c:v>0.56667377620030379</c:v>
                </c:pt>
                <c:pt idx="152">
                  <c:v>1.6557171549885652</c:v>
                </c:pt>
                <c:pt idx="153">
                  <c:v>-0.41353469143839305</c:v>
                </c:pt>
                <c:pt idx="154">
                  <c:v>-1.4306555693843137</c:v>
                </c:pt>
                <c:pt idx="155">
                  <c:v>-5.6060716725448145</c:v>
                </c:pt>
                <c:pt idx="156">
                  <c:v>-8.7293568072245975</c:v>
                </c:pt>
                <c:pt idx="157">
                  <c:v>-10.800510973423343</c:v>
                </c:pt>
                <c:pt idx="158">
                  <c:v>-11.609107977444459</c:v>
                </c:pt>
                <c:pt idx="159">
                  <c:v>-14.786426400377231</c:v>
                </c:pt>
                <c:pt idx="160">
                  <c:v>-15.280335273739993</c:v>
                </c:pt>
                <c:pt idx="161">
                  <c:v>-16.142965566014098</c:v>
                </c:pt>
                <c:pt idx="162">
                  <c:v>-14.322186308718514</c:v>
                </c:pt>
                <c:pt idx="163">
                  <c:v>-13.659702276637837</c:v>
                </c:pt>
                <c:pt idx="164">
                  <c:v>-15.524234888683885</c:v>
                </c:pt>
                <c:pt idx="165">
                  <c:v>-16.336636532248576</c:v>
                </c:pt>
                <c:pt idx="166">
                  <c:v>-17.465628626243728</c:v>
                </c:pt>
                <c:pt idx="167">
                  <c:v>-19.542489751757515</c:v>
                </c:pt>
                <c:pt idx="168">
                  <c:v>-22.146367521398034</c:v>
                </c:pt>
                <c:pt idx="169">
                  <c:v>-25.487688128860917</c:v>
                </c:pt>
                <c:pt idx="170">
                  <c:v>-24.935172993058003</c:v>
                </c:pt>
                <c:pt idx="171">
                  <c:v>-23.382657857255253</c:v>
                </c:pt>
                <c:pt idx="172">
                  <c:v>-19.463323622312316</c:v>
                </c:pt>
                <c:pt idx="173">
                  <c:v>-13.439727450407624</c:v>
                </c:pt>
                <c:pt idx="174">
                  <c:v>-12.416131278502434</c:v>
                </c:pt>
                <c:pt idx="175">
                  <c:v>-19.288273169635453</c:v>
                </c:pt>
                <c:pt idx="176">
                  <c:v>-24.056153123806396</c:v>
                </c:pt>
                <c:pt idx="177">
                  <c:v>-26.719771141014945</c:v>
                </c:pt>
                <c:pt idx="178">
                  <c:v>-34.383389158222997</c:v>
                </c:pt>
                <c:pt idx="179">
                  <c:v>-37.838483301506898</c:v>
                </c:pt>
                <c:pt idx="180">
                  <c:v>-46.293577444790941</c:v>
                </c:pt>
                <c:pt idx="181">
                  <c:v>-50.540147714150834</c:v>
                </c:pt>
                <c:pt idx="182">
                  <c:v>-49.786717983509945</c:v>
                </c:pt>
                <c:pt idx="183">
                  <c:v>-51.929026315907763</c:v>
                </c:pt>
                <c:pt idx="184">
                  <c:v>-49.862810774380151</c:v>
                </c:pt>
                <c:pt idx="185">
                  <c:v>-49.796595232852852</c:v>
                </c:pt>
                <c:pt idx="186">
                  <c:v>-46.521855817401558</c:v>
                </c:pt>
                <c:pt idx="187">
                  <c:v>-43.142854464987224</c:v>
                </c:pt>
                <c:pt idx="188">
                  <c:v>-41.763853112573841</c:v>
                </c:pt>
                <c:pt idx="189">
                  <c:v>-39.176327886235498</c:v>
                </c:pt>
                <c:pt idx="190">
                  <c:v>-37.48454072293427</c:v>
                </c:pt>
                <c:pt idx="191">
                  <c:v>-38.584229685709346</c:v>
                </c:pt>
                <c:pt idx="192">
                  <c:v>-49.683918648484706</c:v>
                </c:pt>
                <c:pt idx="193">
                  <c:v>-56.575083737334637</c:v>
                </c:pt>
                <c:pt idx="194">
                  <c:v>-56.36198688922299</c:v>
                </c:pt>
                <c:pt idx="195">
                  <c:v>-56.940366167186696</c:v>
                </c:pt>
                <c:pt idx="196">
                  <c:v>-55.414483508187686</c:v>
                </c:pt>
                <c:pt idx="197">
                  <c:v>-59.68007697526545</c:v>
                </c:pt>
                <c:pt idx="198">
                  <c:v>-63.945670442342575</c:v>
                </c:pt>
                <c:pt idx="199">
                  <c:v>-66.898478098532337</c:v>
                </c:pt>
                <c:pt idx="200">
                  <c:v>-67.747023817760663</c:v>
                </c:pt>
                <c:pt idx="201">
                  <c:v>-72.387045663064171</c:v>
                </c:pt>
                <c:pt idx="202">
                  <c:v>-73.922805571405448</c:v>
                </c:pt>
                <c:pt idx="203">
                  <c:v>-74.250041605822403</c:v>
                </c:pt>
                <c:pt idx="204">
                  <c:v>-75.368753766315351</c:v>
                </c:pt>
                <c:pt idx="205">
                  <c:v>-72.278942052882869</c:v>
                </c:pt>
                <c:pt idx="206">
                  <c:v>-72.084868402488453</c:v>
                </c:pt>
                <c:pt idx="207">
                  <c:v>-75.578008941207457</c:v>
                </c:pt>
                <c:pt idx="208">
                  <c:v>-86.966887542964031</c:v>
                </c:pt>
                <c:pt idx="209">
                  <c:v>-92.042980333834379</c:v>
                </c:pt>
                <c:pt idx="210">
                  <c:v>-90.014811187742509</c:v>
                </c:pt>
                <c:pt idx="211">
                  <c:v>-83.77811816772649</c:v>
                </c:pt>
                <c:pt idx="212">
                  <c:v>-86.228639336822113</c:v>
                </c:pt>
              </c:numCache>
            </c:numRef>
          </c:yVal>
        </c:ser>
        <c:ser>
          <c:idx val="1"/>
          <c:order val="2"/>
          <c:tx>
            <c:strRef>
              <c:f>'B80-8'!$W$17</c:f>
              <c:strCache>
                <c:ptCount val="1"/>
                <c:pt idx="0">
                  <c:v>B80-8 (2)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'B80-8'!$B$18:$B$274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'B80-8'!$W$18:$W$274</c:f>
              <c:numCache>
                <c:formatCode>General</c:formatCode>
                <c:ptCount val="257"/>
                <c:pt idx="86">
                  <c:v>87.634717570148112</c:v>
                </c:pt>
                <c:pt idx="87">
                  <c:v>84.526650993642306</c:v>
                </c:pt>
                <c:pt idx="88">
                  <c:v>81.629010610832765</c:v>
                </c:pt>
                <c:pt idx="89">
                  <c:v>78.731370228023238</c:v>
                </c:pt>
                <c:pt idx="90">
                  <c:v>78.044156038909961</c:v>
                </c:pt>
                <c:pt idx="91">
                  <c:v>78.567368043492962</c:v>
                </c:pt>
                <c:pt idx="92">
                  <c:v>79.301006241772072</c:v>
                </c:pt>
                <c:pt idx="93">
                  <c:v>79.24507063374746</c:v>
                </c:pt>
                <c:pt idx="94">
                  <c:v>76.399561219418956</c:v>
                </c:pt>
                <c:pt idx="95">
                  <c:v>73.764477998786901</c:v>
                </c:pt>
                <c:pt idx="96">
                  <c:v>72.339820971850941</c:v>
                </c:pt>
                <c:pt idx="97">
                  <c:v>70.915163944914994</c:v>
                </c:pt>
                <c:pt idx="98">
                  <c:v>69.911359305371576</c:v>
                </c:pt>
                <c:pt idx="99">
                  <c:v>68.907554665828016</c:v>
                </c:pt>
                <c:pt idx="100">
                  <c:v>67.324602413676985</c:v>
                </c:pt>
                <c:pt idx="101">
                  <c:v>65.952076355222076</c:v>
                </c:pt>
                <c:pt idx="102">
                  <c:v>64.789976490463431</c:v>
                </c:pt>
                <c:pt idx="103">
                  <c:v>62.838302819401065</c:v>
                </c:pt>
                <c:pt idx="104">
                  <c:v>59.097055342034977</c:v>
                </c:pt>
                <c:pt idx="105">
                  <c:v>55.566234058365005</c:v>
                </c:pt>
                <c:pt idx="106">
                  <c:v>53.456265162087568</c:v>
                </c:pt>
                <c:pt idx="107">
                  <c:v>51.556722459506247</c:v>
                </c:pt>
                <c:pt idx="108">
                  <c:v>51.078032144317461</c:v>
                </c:pt>
                <c:pt idx="109">
                  <c:v>50.599341829128676</c:v>
                </c:pt>
                <c:pt idx="110">
                  <c:v>50.54150390133227</c:v>
                </c:pt>
                <c:pt idx="111">
                  <c:v>49.694092167232142</c:v>
                </c:pt>
                <c:pt idx="112">
                  <c:v>48.267532820524401</c:v>
                </c:pt>
                <c:pt idx="113">
                  <c:v>46.051399667512776</c:v>
                </c:pt>
                <c:pt idx="114">
                  <c:v>44.466545095590121</c:v>
                </c:pt>
                <c:pt idx="115">
                  <c:v>42.881690523667316</c:v>
                </c:pt>
                <c:pt idx="116">
                  <c:v>41.717688339136885</c:v>
                </c:pt>
                <c:pt idx="117">
                  <c:v>40.974538541998996</c:v>
                </c:pt>
                <c:pt idx="118">
                  <c:v>39.441814938557229</c:v>
                </c:pt>
                <c:pt idx="119">
                  <c:v>37.540369916204277</c:v>
                </c:pt>
                <c:pt idx="120">
                  <c:v>35.849351087547596</c:v>
                </c:pt>
                <c:pt idx="121">
                  <c:v>34.579184646283139</c:v>
                </c:pt>
                <c:pt idx="122">
                  <c:v>33.729870592411224</c:v>
                </c:pt>
                <c:pt idx="123">
                  <c:v>32.301408925931852</c:v>
                </c:pt>
                <c:pt idx="124">
                  <c:v>30.293799646844874</c:v>
                </c:pt>
                <c:pt idx="125">
                  <c:v>28.496616561454005</c:v>
                </c:pt>
                <c:pt idx="126">
                  <c:v>27.330712057151949</c:v>
                </c:pt>
                <c:pt idx="127">
                  <c:v>25.796086133938552</c:v>
                </c:pt>
                <c:pt idx="128">
                  <c:v>24.682312598117537</c:v>
                </c:pt>
                <c:pt idx="129">
                  <c:v>23.989391449688906</c:v>
                </c:pt>
                <c:pt idx="130">
                  <c:v>22.717322688652821</c:v>
                </c:pt>
                <c:pt idx="131">
                  <c:v>21.866106315009119</c:v>
                </c:pt>
                <c:pt idx="132">
                  <c:v>20.856594716150507</c:v>
                </c:pt>
                <c:pt idx="133">
                  <c:v>19.267935504683962</c:v>
                </c:pt>
                <c:pt idx="134">
                  <c:v>17.100128680610283</c:v>
                </c:pt>
                <c:pt idx="135">
                  <c:v>15.563600437624938</c:v>
                </c:pt>
                <c:pt idx="136">
                  <c:v>14.658350775728568</c:v>
                </c:pt>
                <c:pt idx="137">
                  <c:v>13.384379694920696</c:v>
                </c:pt>
                <c:pt idx="138">
                  <c:v>11.741687195201482</c:v>
                </c:pt>
                <c:pt idx="139">
                  <c:v>8.5198470828748185</c:v>
                </c:pt>
                <c:pt idx="140">
                  <c:v>6.139711745332761</c:v>
                </c:pt>
                <c:pt idx="141">
                  <c:v>3.6012811825759528</c:v>
                </c:pt>
                <c:pt idx="142">
                  <c:v>1.4837030072116875</c:v>
                </c:pt>
                <c:pt idx="143">
                  <c:v>-1.0025965870642395</c:v>
                </c:pt>
                <c:pt idx="144">
                  <c:v>-3.4367652128589654</c:v>
                </c:pt>
                <c:pt idx="145">
                  <c:v>-5.2396552575651967</c:v>
                </c:pt>
                <c:pt idx="146">
                  <c:v>-6.4112667211824537</c:v>
                </c:pt>
                <c:pt idx="147">
                  <c:v>-6.5307472163186731</c:v>
                </c:pt>
                <c:pt idx="148">
                  <c:v>-4.018949130366245</c:v>
                </c:pt>
                <c:pt idx="149">
                  <c:v>-0.87587246332516244</c:v>
                </c:pt>
                <c:pt idx="150">
                  <c:v>1.5297613658932363</c:v>
                </c:pt>
                <c:pt idx="151">
                  <c:v>2.5666737762002967</c:v>
                </c:pt>
                <c:pt idx="152">
                  <c:v>3.6557171549885581</c:v>
                </c:pt>
                <c:pt idx="153">
                  <c:v>3.5864653085615927</c:v>
                </c:pt>
                <c:pt idx="154">
                  <c:v>-0.43065556938415739</c:v>
                </c:pt>
                <c:pt idx="155">
                  <c:v>-3.6060716725448216</c:v>
                </c:pt>
                <c:pt idx="156">
                  <c:v>-5.729356807224768</c:v>
                </c:pt>
                <c:pt idx="157">
                  <c:v>-4.8005109734233642</c:v>
                </c:pt>
                <c:pt idx="158">
                  <c:v>-5.6091079774444808</c:v>
                </c:pt>
                <c:pt idx="159">
                  <c:v>-9.7864264003770884</c:v>
                </c:pt>
                <c:pt idx="160">
                  <c:v>-12.280335273739844</c:v>
                </c:pt>
                <c:pt idx="161">
                  <c:v>-12.142965566014112</c:v>
                </c:pt>
                <c:pt idx="162">
                  <c:v>-10.322186308718528</c:v>
                </c:pt>
                <c:pt idx="163">
                  <c:v>-10.659702276638008</c:v>
                </c:pt>
                <c:pt idx="164">
                  <c:v>-11.5242348886839</c:v>
                </c:pt>
                <c:pt idx="165">
                  <c:v>-11.336636532248754</c:v>
                </c:pt>
                <c:pt idx="166">
                  <c:v>-9.4656286262437561</c:v>
                </c:pt>
                <c:pt idx="167">
                  <c:v>-10.542489751757707</c:v>
                </c:pt>
                <c:pt idx="168">
                  <c:v>-15.146367521397899</c:v>
                </c:pt>
                <c:pt idx="169">
                  <c:v>-17.487688128860945</c:v>
                </c:pt>
                <c:pt idx="170">
                  <c:v>-17.935172993057868</c:v>
                </c:pt>
                <c:pt idx="171">
                  <c:v>-19.382657857254948</c:v>
                </c:pt>
                <c:pt idx="172">
                  <c:v>-17.463323622312323</c:v>
                </c:pt>
                <c:pt idx="173">
                  <c:v>-13.439727450407624</c:v>
                </c:pt>
                <c:pt idx="174">
                  <c:v>-15.416131278502583</c:v>
                </c:pt>
                <c:pt idx="175">
                  <c:v>-17.28827316963546</c:v>
                </c:pt>
                <c:pt idx="176">
                  <c:v>-18.056153123806418</c:v>
                </c:pt>
                <c:pt idx="177">
                  <c:v>-19.71977114101481</c:v>
                </c:pt>
                <c:pt idx="178">
                  <c:v>-22.383389158223039</c:v>
                </c:pt>
                <c:pt idx="179">
                  <c:v>-24.838483301507104</c:v>
                </c:pt>
                <c:pt idx="180">
                  <c:v>-34.293577444790984</c:v>
                </c:pt>
                <c:pt idx="181">
                  <c:v>-40.54014771415055</c:v>
                </c:pt>
                <c:pt idx="182">
                  <c:v>-45.786717983509959</c:v>
                </c:pt>
                <c:pt idx="183">
                  <c:v>-47.929026315907777</c:v>
                </c:pt>
                <c:pt idx="184">
                  <c:v>-45.862810774380165</c:v>
                </c:pt>
                <c:pt idx="185">
                  <c:v>-42.796595232853036</c:v>
                </c:pt>
                <c:pt idx="186">
                  <c:v>-38.521855817401587</c:v>
                </c:pt>
                <c:pt idx="187">
                  <c:v>-39.142854464987238</c:v>
                </c:pt>
                <c:pt idx="188">
                  <c:v>-39.763853112573528</c:v>
                </c:pt>
                <c:pt idx="189">
                  <c:v>-37.176327886235185</c:v>
                </c:pt>
                <c:pt idx="190">
                  <c:v>-34.48454072293444</c:v>
                </c:pt>
                <c:pt idx="191">
                  <c:v>-32.584229685709047</c:v>
                </c:pt>
                <c:pt idx="192">
                  <c:v>-36.683918648484592</c:v>
                </c:pt>
                <c:pt idx="193">
                  <c:v>-40.575083737334694</c:v>
                </c:pt>
                <c:pt idx="194">
                  <c:v>-44.361986889223033</c:v>
                </c:pt>
                <c:pt idx="195">
                  <c:v>-47.940366167186568</c:v>
                </c:pt>
                <c:pt idx="196">
                  <c:v>-53.414483508188013</c:v>
                </c:pt>
                <c:pt idx="197">
                  <c:v>-55.680076975265465</c:v>
                </c:pt>
                <c:pt idx="198">
                  <c:v>-59.945670442342589</c:v>
                </c:pt>
                <c:pt idx="199">
                  <c:v>-59.898478098532522</c:v>
                </c:pt>
                <c:pt idx="200">
                  <c:v>-58.747023817760535</c:v>
                </c:pt>
                <c:pt idx="201">
                  <c:v>-56.387045663064228</c:v>
                </c:pt>
                <c:pt idx="202">
                  <c:v>-59.922805571405178</c:v>
                </c:pt>
                <c:pt idx="203">
                  <c:v>-62.250041605822446</c:v>
                </c:pt>
                <c:pt idx="204">
                  <c:v>-63.368753766315393</c:v>
                </c:pt>
                <c:pt idx="205">
                  <c:v>-63.27894205288338</c:v>
                </c:pt>
                <c:pt idx="206">
                  <c:v>-67.084868402488311</c:v>
                </c:pt>
                <c:pt idx="207">
                  <c:v>-64.578008941207656</c:v>
                </c:pt>
                <c:pt idx="208">
                  <c:v>-63.966887542964912</c:v>
                </c:pt>
                <c:pt idx="209">
                  <c:v>-58.04298033383418</c:v>
                </c:pt>
                <c:pt idx="210">
                  <c:v>-61.014811187742453</c:v>
                </c:pt>
                <c:pt idx="211">
                  <c:v>-69.77811816772558</c:v>
                </c:pt>
                <c:pt idx="212">
                  <c:v>-78.228639336822141</c:v>
                </c:pt>
              </c:numCache>
            </c:numRef>
          </c:yVal>
        </c:ser>
        <c:axId val="53404800"/>
        <c:axId val="53406720"/>
      </c:scatterChart>
      <c:valAx>
        <c:axId val="53404800"/>
        <c:scaling>
          <c:logBase val="10"/>
          <c:orientation val="minMax"/>
          <c:max val="1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0647064686534431"/>
              <c:y val="0.86533136482939632"/>
            </c:manualLayout>
          </c:layout>
        </c:title>
        <c:numFmt formatCode="General" sourceLinked="1"/>
        <c:tickLblPos val="nextTo"/>
        <c:crossAx val="53406720"/>
        <c:crossesAt val="-360"/>
        <c:crossBetween val="midCat"/>
      </c:valAx>
      <c:valAx>
        <c:axId val="53406720"/>
        <c:scaling>
          <c:orientation val="minMax"/>
          <c:max val="180"/>
          <c:min val="-18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[grd]</a:t>
                </a:r>
              </a:p>
            </c:rich>
          </c:tx>
        </c:title>
        <c:numFmt formatCode="General" sourceLinked="1"/>
        <c:tickLblPos val="nextTo"/>
        <c:crossAx val="53404800"/>
        <c:crosses val="autoZero"/>
        <c:crossBetween val="midCat"/>
        <c:majorUnit val="30"/>
      </c:valAx>
    </c:plotArea>
    <c:legend>
      <c:legendPos val="b"/>
      <c:layout>
        <c:manualLayout>
          <c:xMode val="edge"/>
          <c:yMode val="edge"/>
          <c:x val="2.4770701130713089E-2"/>
          <c:y val="0.91628280839894949"/>
          <c:w val="0.9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0650605487500876E-2"/>
          <c:y val="5.1400554097404488E-2"/>
          <c:w val="0.88980465353919713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'FRS8-4'!$I$17</c:f>
              <c:strCache>
                <c:ptCount val="1"/>
                <c:pt idx="0">
                  <c:v>FRS8-4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'FRS8-4'!$B$18:$B$274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'FRS8-4'!$I$18:$I$274</c:f>
              <c:numCache>
                <c:formatCode>General</c:formatCode>
                <c:ptCount val="257"/>
                <c:pt idx="0">
                  <c:v>45.612000000000002</c:v>
                </c:pt>
                <c:pt idx="1">
                  <c:v>46.087000000000003</c:v>
                </c:pt>
                <c:pt idx="2">
                  <c:v>46.563000000000002</c:v>
                </c:pt>
                <c:pt idx="3">
                  <c:v>47.037999999999997</c:v>
                </c:pt>
                <c:pt idx="4">
                  <c:v>47.514000000000003</c:v>
                </c:pt>
                <c:pt idx="5">
                  <c:v>47.99</c:v>
                </c:pt>
                <c:pt idx="6">
                  <c:v>48.466999999999999</c:v>
                </c:pt>
                <c:pt idx="7">
                  <c:v>48.944000000000003</c:v>
                </c:pt>
                <c:pt idx="8">
                  <c:v>49.421999999999997</c:v>
                </c:pt>
                <c:pt idx="9">
                  <c:v>49.9</c:v>
                </c:pt>
                <c:pt idx="10">
                  <c:v>50.378999999999998</c:v>
                </c:pt>
                <c:pt idx="11">
                  <c:v>50.857999999999997</c:v>
                </c:pt>
                <c:pt idx="12">
                  <c:v>51.337000000000003</c:v>
                </c:pt>
                <c:pt idx="13">
                  <c:v>51.817999999999998</c:v>
                </c:pt>
                <c:pt idx="14">
                  <c:v>52.298000000000002</c:v>
                </c:pt>
                <c:pt idx="15">
                  <c:v>52.78</c:v>
                </c:pt>
                <c:pt idx="16">
                  <c:v>53.262</c:v>
                </c:pt>
                <c:pt idx="17">
                  <c:v>53.744999999999997</c:v>
                </c:pt>
                <c:pt idx="18">
                  <c:v>54.228000000000002</c:v>
                </c:pt>
                <c:pt idx="19">
                  <c:v>54.713000000000001</c:v>
                </c:pt>
                <c:pt idx="20">
                  <c:v>55.198</c:v>
                </c:pt>
                <c:pt idx="21">
                  <c:v>55.683999999999997</c:v>
                </c:pt>
                <c:pt idx="22">
                  <c:v>56.170999999999999</c:v>
                </c:pt>
                <c:pt idx="23">
                  <c:v>56.658000000000001</c:v>
                </c:pt>
                <c:pt idx="24">
                  <c:v>57.146999999999998</c:v>
                </c:pt>
                <c:pt idx="25">
                  <c:v>57.637</c:v>
                </c:pt>
                <c:pt idx="26">
                  <c:v>58.127000000000002</c:v>
                </c:pt>
                <c:pt idx="27">
                  <c:v>58.619</c:v>
                </c:pt>
                <c:pt idx="28">
                  <c:v>59.112000000000002</c:v>
                </c:pt>
                <c:pt idx="29">
                  <c:v>59.606000000000002</c:v>
                </c:pt>
                <c:pt idx="30">
                  <c:v>60.101999999999997</c:v>
                </c:pt>
                <c:pt idx="31">
                  <c:v>60.597999999999999</c:v>
                </c:pt>
                <c:pt idx="32">
                  <c:v>61.095999999999997</c:v>
                </c:pt>
                <c:pt idx="33">
                  <c:v>61.594999999999999</c:v>
                </c:pt>
                <c:pt idx="34">
                  <c:v>62.095999999999997</c:v>
                </c:pt>
                <c:pt idx="35">
                  <c:v>62.597999999999999</c:v>
                </c:pt>
                <c:pt idx="36">
                  <c:v>63.101999999999997</c:v>
                </c:pt>
                <c:pt idx="37">
                  <c:v>63.606999999999999</c:v>
                </c:pt>
                <c:pt idx="38">
                  <c:v>64.113</c:v>
                </c:pt>
                <c:pt idx="39">
                  <c:v>64.620999999999995</c:v>
                </c:pt>
                <c:pt idx="40">
                  <c:v>65.131</c:v>
                </c:pt>
                <c:pt idx="41">
                  <c:v>65.641999999999996</c:v>
                </c:pt>
                <c:pt idx="42">
                  <c:v>66.155000000000001</c:v>
                </c:pt>
                <c:pt idx="43">
                  <c:v>66.668999999999997</c:v>
                </c:pt>
                <c:pt idx="44">
                  <c:v>67.185000000000002</c:v>
                </c:pt>
                <c:pt idx="45">
                  <c:v>67.703000000000003</c:v>
                </c:pt>
                <c:pt idx="46">
                  <c:v>68.221999999999994</c:v>
                </c:pt>
                <c:pt idx="47">
                  <c:v>68.742000000000004</c:v>
                </c:pt>
                <c:pt idx="48">
                  <c:v>69.263999999999996</c:v>
                </c:pt>
                <c:pt idx="49">
                  <c:v>69.786000000000001</c:v>
                </c:pt>
                <c:pt idx="50">
                  <c:v>70.31</c:v>
                </c:pt>
                <c:pt idx="51">
                  <c:v>70.834999999999994</c:v>
                </c:pt>
                <c:pt idx="52">
                  <c:v>71.36</c:v>
                </c:pt>
                <c:pt idx="53">
                  <c:v>71.885999999999996</c:v>
                </c:pt>
                <c:pt idx="54">
                  <c:v>72.412000000000006</c:v>
                </c:pt>
                <c:pt idx="55">
                  <c:v>72.936999999999998</c:v>
                </c:pt>
                <c:pt idx="56">
                  <c:v>73.462000000000003</c:v>
                </c:pt>
                <c:pt idx="57">
                  <c:v>73.984999999999999</c:v>
                </c:pt>
                <c:pt idx="58">
                  <c:v>74.506</c:v>
                </c:pt>
                <c:pt idx="59">
                  <c:v>75.025000000000006</c:v>
                </c:pt>
                <c:pt idx="60">
                  <c:v>75.540000000000006</c:v>
                </c:pt>
                <c:pt idx="61">
                  <c:v>76.052000000000007</c:v>
                </c:pt>
                <c:pt idx="62">
                  <c:v>76.558000000000007</c:v>
                </c:pt>
                <c:pt idx="63">
                  <c:v>77.058999999999997</c:v>
                </c:pt>
                <c:pt idx="64">
                  <c:v>77.552000000000007</c:v>
                </c:pt>
                <c:pt idx="65">
                  <c:v>78.037000000000006</c:v>
                </c:pt>
                <c:pt idx="66">
                  <c:v>78.512</c:v>
                </c:pt>
                <c:pt idx="67">
                  <c:v>78.977000000000004</c:v>
                </c:pt>
                <c:pt idx="68">
                  <c:v>79.429000000000002</c:v>
                </c:pt>
                <c:pt idx="69">
                  <c:v>79.867999999999995</c:v>
                </c:pt>
                <c:pt idx="70">
                  <c:v>80.293000000000006</c:v>
                </c:pt>
                <c:pt idx="71">
                  <c:v>80.701999999999998</c:v>
                </c:pt>
                <c:pt idx="72">
                  <c:v>81.093999999999994</c:v>
                </c:pt>
                <c:pt idx="73">
                  <c:v>81.468999999999994</c:v>
                </c:pt>
                <c:pt idx="74">
                  <c:v>81.825000000000003</c:v>
                </c:pt>
                <c:pt idx="75">
                  <c:v>82.155000000000001</c:v>
                </c:pt>
                <c:pt idx="76">
                  <c:v>82.433000000000007</c:v>
                </c:pt>
                <c:pt idx="77">
                  <c:v>82.694999999999993</c:v>
                </c:pt>
                <c:pt idx="78">
                  <c:v>82.942999999999998</c:v>
                </c:pt>
                <c:pt idx="79">
                  <c:v>83.174999999999997</c:v>
                </c:pt>
                <c:pt idx="80">
                  <c:v>83.39</c:v>
                </c:pt>
                <c:pt idx="81">
                  <c:v>83.585999999999999</c:v>
                </c:pt>
                <c:pt idx="82">
                  <c:v>83.763000000000005</c:v>
                </c:pt>
                <c:pt idx="83">
                  <c:v>83.921000000000006</c:v>
                </c:pt>
                <c:pt idx="84">
                  <c:v>84.06</c:v>
                </c:pt>
                <c:pt idx="85">
                  <c:v>84.179000000000002</c:v>
                </c:pt>
                <c:pt idx="86">
                  <c:v>84.281999999999996</c:v>
                </c:pt>
                <c:pt idx="87">
                  <c:v>84.373999999999995</c:v>
                </c:pt>
                <c:pt idx="88">
                  <c:v>84.462999999999994</c:v>
                </c:pt>
                <c:pt idx="89">
                  <c:v>84.554000000000002</c:v>
                </c:pt>
                <c:pt idx="90">
                  <c:v>84.646000000000001</c:v>
                </c:pt>
                <c:pt idx="91">
                  <c:v>84.727999999999994</c:v>
                </c:pt>
                <c:pt idx="92">
                  <c:v>84.796000000000006</c:v>
                </c:pt>
                <c:pt idx="93">
                  <c:v>84.863</c:v>
                </c:pt>
                <c:pt idx="94">
                  <c:v>84.95</c:v>
                </c:pt>
                <c:pt idx="95">
                  <c:v>85.061999999999998</c:v>
                </c:pt>
                <c:pt idx="96">
                  <c:v>85.17</c:v>
                </c:pt>
                <c:pt idx="97">
                  <c:v>85.236000000000004</c:v>
                </c:pt>
                <c:pt idx="98">
                  <c:v>85.251000000000005</c:v>
                </c:pt>
                <c:pt idx="99">
                  <c:v>85.241</c:v>
                </c:pt>
                <c:pt idx="100">
                  <c:v>85.230999999999995</c:v>
                </c:pt>
                <c:pt idx="101">
                  <c:v>85.238</c:v>
                </c:pt>
                <c:pt idx="102">
                  <c:v>85.260999999999996</c:v>
                </c:pt>
                <c:pt idx="103">
                  <c:v>85.284000000000006</c:v>
                </c:pt>
                <c:pt idx="104">
                  <c:v>85.298000000000002</c:v>
                </c:pt>
                <c:pt idx="105">
                  <c:v>85.302999999999997</c:v>
                </c:pt>
                <c:pt idx="106">
                  <c:v>85.313000000000002</c:v>
                </c:pt>
                <c:pt idx="107">
                  <c:v>85.346999999999994</c:v>
                </c:pt>
                <c:pt idx="108">
                  <c:v>85.387</c:v>
                </c:pt>
                <c:pt idx="109">
                  <c:v>85.399000000000001</c:v>
                </c:pt>
                <c:pt idx="110">
                  <c:v>85.375</c:v>
                </c:pt>
                <c:pt idx="111">
                  <c:v>85.352999999999994</c:v>
                </c:pt>
                <c:pt idx="112">
                  <c:v>85.36</c:v>
                </c:pt>
                <c:pt idx="113">
                  <c:v>85.361000000000004</c:v>
                </c:pt>
                <c:pt idx="114">
                  <c:v>85.373999999999995</c:v>
                </c:pt>
                <c:pt idx="115">
                  <c:v>85.292000000000002</c:v>
                </c:pt>
                <c:pt idx="116">
                  <c:v>85.164000000000001</c:v>
                </c:pt>
                <c:pt idx="117">
                  <c:v>85.078000000000003</c:v>
                </c:pt>
                <c:pt idx="118">
                  <c:v>85.028000000000006</c:v>
                </c:pt>
                <c:pt idx="119">
                  <c:v>85.004999999999995</c:v>
                </c:pt>
                <c:pt idx="120">
                  <c:v>84.966999999999999</c:v>
                </c:pt>
                <c:pt idx="121">
                  <c:v>84.912000000000006</c:v>
                </c:pt>
                <c:pt idx="122">
                  <c:v>84.866</c:v>
                </c:pt>
                <c:pt idx="123">
                  <c:v>84.835999999999999</c:v>
                </c:pt>
                <c:pt idx="124">
                  <c:v>84.850999999999999</c:v>
                </c:pt>
                <c:pt idx="125">
                  <c:v>84.951999999999998</c:v>
                </c:pt>
                <c:pt idx="126">
                  <c:v>85.153999999999996</c:v>
                </c:pt>
                <c:pt idx="127">
                  <c:v>85.381</c:v>
                </c:pt>
                <c:pt idx="128">
                  <c:v>85.5</c:v>
                </c:pt>
                <c:pt idx="129">
                  <c:v>85.459000000000003</c:v>
                </c:pt>
                <c:pt idx="130">
                  <c:v>85.325000000000003</c:v>
                </c:pt>
                <c:pt idx="131">
                  <c:v>85.201999999999998</c:v>
                </c:pt>
                <c:pt idx="132">
                  <c:v>85.143000000000001</c:v>
                </c:pt>
                <c:pt idx="133">
                  <c:v>85.126999999999995</c:v>
                </c:pt>
                <c:pt idx="134">
                  <c:v>85.125</c:v>
                </c:pt>
                <c:pt idx="135">
                  <c:v>85.186000000000007</c:v>
                </c:pt>
                <c:pt idx="136">
                  <c:v>85.361999999999995</c:v>
                </c:pt>
                <c:pt idx="137">
                  <c:v>85.650999999999996</c:v>
                </c:pt>
                <c:pt idx="138">
                  <c:v>86.034000000000006</c:v>
                </c:pt>
                <c:pt idx="139">
                  <c:v>86.46</c:v>
                </c:pt>
                <c:pt idx="140">
                  <c:v>86.843999999999994</c:v>
                </c:pt>
                <c:pt idx="141">
                  <c:v>87.088999999999999</c:v>
                </c:pt>
                <c:pt idx="142">
                  <c:v>87.126000000000005</c:v>
                </c:pt>
                <c:pt idx="143">
                  <c:v>86.971999999999994</c:v>
                </c:pt>
                <c:pt idx="144">
                  <c:v>86.725999999999999</c:v>
                </c:pt>
                <c:pt idx="145">
                  <c:v>86.513000000000005</c:v>
                </c:pt>
                <c:pt idx="146">
                  <c:v>86.421000000000006</c:v>
                </c:pt>
                <c:pt idx="147">
                  <c:v>86.477000000000004</c:v>
                </c:pt>
                <c:pt idx="148">
                  <c:v>86.619</c:v>
                </c:pt>
                <c:pt idx="149">
                  <c:v>86.688000000000002</c:v>
                </c:pt>
                <c:pt idx="150">
                  <c:v>86.564999999999998</c:v>
                </c:pt>
                <c:pt idx="151">
                  <c:v>86.269000000000005</c:v>
                </c:pt>
                <c:pt idx="152">
                  <c:v>85.924000000000007</c:v>
                </c:pt>
                <c:pt idx="153">
                  <c:v>85.623999999999995</c:v>
                </c:pt>
                <c:pt idx="154">
                  <c:v>85.37</c:v>
                </c:pt>
                <c:pt idx="155">
                  <c:v>85.126999999999995</c:v>
                </c:pt>
                <c:pt idx="156">
                  <c:v>84.831000000000003</c:v>
                </c:pt>
                <c:pt idx="157">
                  <c:v>84.474000000000004</c:v>
                </c:pt>
                <c:pt idx="158">
                  <c:v>84.265000000000001</c:v>
                </c:pt>
                <c:pt idx="159">
                  <c:v>84.474999999999994</c:v>
                </c:pt>
                <c:pt idx="160">
                  <c:v>85.117000000000004</c:v>
                </c:pt>
                <c:pt idx="161">
                  <c:v>85.820999999999998</c:v>
                </c:pt>
                <c:pt idx="162">
                  <c:v>86.042000000000002</c:v>
                </c:pt>
                <c:pt idx="163">
                  <c:v>85.644999999999996</c:v>
                </c:pt>
                <c:pt idx="164">
                  <c:v>85.034000000000006</c:v>
                </c:pt>
                <c:pt idx="165">
                  <c:v>84.641000000000005</c:v>
                </c:pt>
                <c:pt idx="166">
                  <c:v>84.533000000000001</c:v>
                </c:pt>
                <c:pt idx="167">
                  <c:v>84.364999999999995</c:v>
                </c:pt>
                <c:pt idx="168">
                  <c:v>83.817999999999998</c:v>
                </c:pt>
                <c:pt idx="169">
                  <c:v>83.176000000000002</c:v>
                </c:pt>
                <c:pt idx="170">
                  <c:v>82.972999999999999</c:v>
                </c:pt>
                <c:pt idx="171">
                  <c:v>83.39</c:v>
                </c:pt>
                <c:pt idx="172">
                  <c:v>84.052999999999997</c:v>
                </c:pt>
                <c:pt idx="173">
                  <c:v>84.45</c:v>
                </c:pt>
                <c:pt idx="174">
                  <c:v>84.594999999999999</c:v>
                </c:pt>
                <c:pt idx="175">
                  <c:v>84.533000000000001</c:v>
                </c:pt>
                <c:pt idx="176">
                  <c:v>84.100999999999999</c:v>
                </c:pt>
                <c:pt idx="177">
                  <c:v>83.617000000000004</c:v>
                </c:pt>
                <c:pt idx="178">
                  <c:v>83.590999999999994</c:v>
                </c:pt>
                <c:pt idx="179">
                  <c:v>83.807000000000002</c:v>
                </c:pt>
                <c:pt idx="180">
                  <c:v>83.796999999999997</c:v>
                </c:pt>
                <c:pt idx="181">
                  <c:v>83.77</c:v>
                </c:pt>
                <c:pt idx="182">
                  <c:v>83.733999999999995</c:v>
                </c:pt>
                <c:pt idx="183">
                  <c:v>83.135000000000005</c:v>
                </c:pt>
                <c:pt idx="184">
                  <c:v>82.563000000000002</c:v>
                </c:pt>
                <c:pt idx="185">
                  <c:v>82.906000000000006</c:v>
                </c:pt>
                <c:pt idx="186">
                  <c:v>83.445999999999998</c:v>
                </c:pt>
                <c:pt idx="187">
                  <c:v>83.516000000000005</c:v>
                </c:pt>
                <c:pt idx="188">
                  <c:v>83.465999999999994</c:v>
                </c:pt>
                <c:pt idx="189">
                  <c:v>83.361000000000004</c:v>
                </c:pt>
                <c:pt idx="190">
                  <c:v>83.915999999999997</c:v>
                </c:pt>
                <c:pt idx="191">
                  <c:v>84.677999999999997</c:v>
                </c:pt>
                <c:pt idx="192">
                  <c:v>85.369</c:v>
                </c:pt>
                <c:pt idx="193">
                  <c:v>86.194999999999993</c:v>
                </c:pt>
                <c:pt idx="194">
                  <c:v>86.106999999999999</c:v>
                </c:pt>
                <c:pt idx="195">
                  <c:v>86.037000000000006</c:v>
                </c:pt>
                <c:pt idx="196">
                  <c:v>85.98</c:v>
                </c:pt>
                <c:pt idx="197">
                  <c:v>85.822999999999993</c:v>
                </c:pt>
                <c:pt idx="198">
                  <c:v>85.756</c:v>
                </c:pt>
                <c:pt idx="199">
                  <c:v>85.89</c:v>
                </c:pt>
                <c:pt idx="200">
                  <c:v>85.94</c:v>
                </c:pt>
                <c:pt idx="201">
                  <c:v>86.063000000000002</c:v>
                </c:pt>
                <c:pt idx="202">
                  <c:v>86.177000000000007</c:v>
                </c:pt>
                <c:pt idx="203">
                  <c:v>86.32</c:v>
                </c:pt>
                <c:pt idx="204">
                  <c:v>86.552999999999997</c:v>
                </c:pt>
                <c:pt idx="205">
                  <c:v>86.634</c:v>
                </c:pt>
                <c:pt idx="206">
                  <c:v>86.677999999999997</c:v>
                </c:pt>
                <c:pt idx="207">
                  <c:v>86.772000000000006</c:v>
                </c:pt>
                <c:pt idx="208">
                  <c:v>86.933999999999997</c:v>
                </c:pt>
                <c:pt idx="209">
                  <c:v>87.134</c:v>
                </c:pt>
                <c:pt idx="210">
                  <c:v>87.305000000000007</c:v>
                </c:pt>
                <c:pt idx="211">
                  <c:v>87.262</c:v>
                </c:pt>
                <c:pt idx="212">
                  <c:v>87.131</c:v>
                </c:pt>
                <c:pt idx="213">
                  <c:v>87.051000000000002</c:v>
                </c:pt>
                <c:pt idx="214">
                  <c:v>86.945999999999998</c:v>
                </c:pt>
                <c:pt idx="215">
                  <c:v>86.828000000000003</c:v>
                </c:pt>
                <c:pt idx="216">
                  <c:v>86.694000000000003</c:v>
                </c:pt>
                <c:pt idx="217">
                  <c:v>86.460999999999999</c:v>
                </c:pt>
                <c:pt idx="218">
                  <c:v>86.155000000000001</c:v>
                </c:pt>
                <c:pt idx="219">
                  <c:v>85.902000000000001</c:v>
                </c:pt>
                <c:pt idx="220">
                  <c:v>85.727000000000004</c:v>
                </c:pt>
                <c:pt idx="221">
                  <c:v>85.57</c:v>
                </c:pt>
                <c:pt idx="222">
                  <c:v>85.534000000000006</c:v>
                </c:pt>
                <c:pt idx="223">
                  <c:v>85.551000000000002</c:v>
                </c:pt>
                <c:pt idx="224">
                  <c:v>85.650999999999996</c:v>
                </c:pt>
                <c:pt idx="225">
                  <c:v>85.947999999999993</c:v>
                </c:pt>
                <c:pt idx="226">
                  <c:v>86.391000000000005</c:v>
                </c:pt>
                <c:pt idx="227">
                  <c:v>86.753</c:v>
                </c:pt>
                <c:pt idx="228">
                  <c:v>87.433000000000007</c:v>
                </c:pt>
                <c:pt idx="229">
                  <c:v>88.128</c:v>
                </c:pt>
                <c:pt idx="230">
                  <c:v>88.912999999999997</c:v>
                </c:pt>
                <c:pt idx="231">
                  <c:v>89.561000000000007</c:v>
                </c:pt>
                <c:pt idx="232">
                  <c:v>89.896000000000001</c:v>
                </c:pt>
                <c:pt idx="233">
                  <c:v>89.655000000000001</c:v>
                </c:pt>
                <c:pt idx="234">
                  <c:v>88.516000000000005</c:v>
                </c:pt>
                <c:pt idx="235">
                  <c:v>86.713999999999999</c:v>
                </c:pt>
                <c:pt idx="236">
                  <c:v>84.938999999999993</c:v>
                </c:pt>
                <c:pt idx="237">
                  <c:v>83.856999999999999</c:v>
                </c:pt>
                <c:pt idx="238">
                  <c:v>83.781999999999996</c:v>
                </c:pt>
                <c:pt idx="239">
                  <c:v>84.453999999999994</c:v>
                </c:pt>
                <c:pt idx="240">
                  <c:v>85.491</c:v>
                </c:pt>
                <c:pt idx="241">
                  <c:v>86.576999999999998</c:v>
                </c:pt>
                <c:pt idx="242">
                  <c:v>87.494</c:v>
                </c:pt>
                <c:pt idx="243">
                  <c:v>88.100999999999999</c:v>
                </c:pt>
                <c:pt idx="244">
                  <c:v>88.263999999999996</c:v>
                </c:pt>
                <c:pt idx="245">
                  <c:v>87.923000000000002</c:v>
                </c:pt>
                <c:pt idx="246">
                  <c:v>87.161000000000001</c:v>
                </c:pt>
                <c:pt idx="247">
                  <c:v>86.045000000000002</c:v>
                </c:pt>
                <c:pt idx="248">
                  <c:v>85.147999999999996</c:v>
                </c:pt>
                <c:pt idx="249">
                  <c:v>85.025000000000006</c:v>
                </c:pt>
                <c:pt idx="250">
                  <c:v>85.823999999999998</c:v>
                </c:pt>
                <c:pt idx="251">
                  <c:v>86.923000000000002</c:v>
                </c:pt>
                <c:pt idx="252">
                  <c:v>87.597999999999999</c:v>
                </c:pt>
                <c:pt idx="253">
                  <c:v>87.528000000000006</c:v>
                </c:pt>
                <c:pt idx="254">
                  <c:v>86.600999999999999</c:v>
                </c:pt>
                <c:pt idx="255">
                  <c:v>85.427000000000007</c:v>
                </c:pt>
                <c:pt idx="256">
                  <c:v>84.596000000000004</c:v>
                </c:pt>
              </c:numCache>
            </c:numRef>
          </c:yVal>
        </c:ser>
        <c:ser>
          <c:idx val="0"/>
          <c:order val="1"/>
          <c:tx>
            <c:strRef>
              <c:f>'FRS8-4'!$P$17</c:f>
              <c:strCache>
                <c:ptCount val="1"/>
                <c:pt idx="0">
                  <c:v>FRS8-4 (1)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'FRS8-4'!$B$18:$B$274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'FRS8-4'!$P$18:$P$274</c:f>
              <c:numCache>
                <c:formatCode>General</c:formatCode>
                <c:ptCount val="257"/>
                <c:pt idx="86">
                  <c:v>85.476299031068962</c:v>
                </c:pt>
                <c:pt idx="87">
                  <c:v>85.476299031068962</c:v>
                </c:pt>
                <c:pt idx="88">
                  <c:v>85.476299031068962</c:v>
                </c:pt>
                <c:pt idx="89">
                  <c:v>85.476299031068962</c:v>
                </c:pt>
                <c:pt idx="90">
                  <c:v>85.682298163865212</c:v>
                </c:pt>
                <c:pt idx="91">
                  <c:v>85.949577395024846</c:v>
                </c:pt>
                <c:pt idx="92">
                  <c:v>85.949577395024846</c:v>
                </c:pt>
                <c:pt idx="93">
                  <c:v>86.144774140807968</c:v>
                </c:pt>
                <c:pt idx="94">
                  <c:v>86.144774140807968</c:v>
                </c:pt>
                <c:pt idx="95">
                  <c:v>86.144774140807968</c:v>
                </c:pt>
                <c:pt idx="96">
                  <c:v>86.335680498932575</c:v>
                </c:pt>
                <c:pt idx="97">
                  <c:v>86.4606594844726</c:v>
                </c:pt>
                <c:pt idx="98">
                  <c:v>86.4606594844726</c:v>
                </c:pt>
                <c:pt idx="99">
                  <c:v>86.765458815607346</c:v>
                </c:pt>
                <c:pt idx="100">
                  <c:v>87.059923952021464</c:v>
                </c:pt>
                <c:pt idx="101">
                  <c:v>86.825458815607348</c:v>
                </c:pt>
                <c:pt idx="102">
                  <c:v>87.159923952021458</c:v>
                </c:pt>
                <c:pt idx="103">
                  <c:v>87.159923952021458</c:v>
                </c:pt>
                <c:pt idx="104">
                  <c:v>87.444732734313675</c:v>
                </c:pt>
                <c:pt idx="105">
                  <c:v>87.444732734313675</c:v>
                </c:pt>
                <c:pt idx="106">
                  <c:v>87.444732734313675</c:v>
                </c:pt>
                <c:pt idx="107">
                  <c:v>87.444732734313675</c:v>
                </c:pt>
                <c:pt idx="108">
                  <c:v>87.444732734313675</c:v>
                </c:pt>
                <c:pt idx="109">
                  <c:v>87.444732734313675</c:v>
                </c:pt>
                <c:pt idx="110">
                  <c:v>87.720498424026331</c:v>
                </c:pt>
                <c:pt idx="111">
                  <c:v>87.720498424026331</c:v>
                </c:pt>
                <c:pt idx="112">
                  <c:v>87.82839906176045</c:v>
                </c:pt>
                <c:pt idx="113">
                  <c:v>88.002777655185966</c:v>
                </c:pt>
                <c:pt idx="114">
                  <c:v>88.11426053170895</c:v>
                </c:pt>
                <c:pt idx="115">
                  <c:v>88.192428193859513</c:v>
                </c:pt>
                <c:pt idx="116">
                  <c:v>88.244284405425105</c:v>
                </c:pt>
                <c:pt idx="117">
                  <c:v>88.347077198473329</c:v>
                </c:pt>
                <c:pt idx="118">
                  <c:v>88.448667709058824</c:v>
                </c:pt>
                <c:pt idx="119">
                  <c:v>88.448667709058824</c:v>
                </c:pt>
                <c:pt idx="120">
                  <c:v>88.448667709058824</c:v>
                </c:pt>
                <c:pt idx="121">
                  <c:v>88.448667709058824</c:v>
                </c:pt>
                <c:pt idx="122">
                  <c:v>88.448667709058824</c:v>
                </c:pt>
                <c:pt idx="123">
                  <c:v>88.448667709058824</c:v>
                </c:pt>
                <c:pt idx="124">
                  <c:v>88.347077198473329</c:v>
                </c:pt>
                <c:pt idx="125">
                  <c:v>88.347077198473329</c:v>
                </c:pt>
                <c:pt idx="126">
                  <c:v>88.241784405425108</c:v>
                </c:pt>
                <c:pt idx="127">
                  <c:v>88.200284405425109</c:v>
                </c:pt>
                <c:pt idx="128">
                  <c:v>88.105928193859512</c:v>
                </c:pt>
                <c:pt idx="129">
                  <c:v>87.987777655185965</c:v>
                </c:pt>
                <c:pt idx="130">
                  <c:v>87.82839906176045</c:v>
                </c:pt>
                <c:pt idx="131">
                  <c:v>87.808399061760454</c:v>
                </c:pt>
                <c:pt idx="132">
                  <c:v>87.760899061760455</c:v>
                </c:pt>
                <c:pt idx="133">
                  <c:v>87.607698424026339</c:v>
                </c:pt>
                <c:pt idx="134">
                  <c:v>87.568098424026331</c:v>
                </c:pt>
                <c:pt idx="135">
                  <c:v>87.527298424026341</c:v>
                </c:pt>
                <c:pt idx="136">
                  <c:v>87.520498424026343</c:v>
                </c:pt>
                <c:pt idx="137">
                  <c:v>87.628399061760462</c:v>
                </c:pt>
                <c:pt idx="138">
                  <c:v>87.704650858986994</c:v>
                </c:pt>
                <c:pt idx="139">
                  <c:v>87.855777655185975</c:v>
                </c:pt>
                <c:pt idx="140">
                  <c:v>88.147077198473326</c:v>
                </c:pt>
                <c:pt idx="141">
                  <c:v>88.248667709058822</c:v>
                </c:pt>
                <c:pt idx="142">
                  <c:v>88.398859744633725</c:v>
                </c:pt>
                <c:pt idx="143">
                  <c:v>88.643548872973966</c:v>
                </c:pt>
                <c:pt idx="144">
                  <c:v>88.643548872973966</c:v>
                </c:pt>
                <c:pt idx="145">
                  <c:v>88.881533338968111</c:v>
                </c:pt>
                <c:pt idx="146">
                  <c:v>88.881533338968111</c:v>
                </c:pt>
                <c:pt idx="147">
                  <c:v>88.974930901637833</c:v>
                </c:pt>
                <c:pt idx="148">
                  <c:v>88.881533338968111</c:v>
                </c:pt>
                <c:pt idx="149">
                  <c:v>88.856390481825258</c:v>
                </c:pt>
                <c:pt idx="150">
                  <c:v>88.76839048182525</c:v>
                </c:pt>
                <c:pt idx="151">
                  <c:v>88.681533338968109</c:v>
                </c:pt>
                <c:pt idx="152">
                  <c:v>88.681533338968109</c:v>
                </c:pt>
                <c:pt idx="153">
                  <c:v>88.913170789964411</c:v>
                </c:pt>
                <c:pt idx="154">
                  <c:v>88.939170789964408</c:v>
                </c:pt>
                <c:pt idx="155">
                  <c:v>88.98292078996441</c:v>
                </c:pt>
                <c:pt idx="156">
                  <c:v>89.01317078996442</c:v>
                </c:pt>
                <c:pt idx="157">
                  <c:v>89.01317078996442</c:v>
                </c:pt>
                <c:pt idx="158">
                  <c:v>88.781533338968117</c:v>
                </c:pt>
                <c:pt idx="159">
                  <c:v>88.047077198473332</c:v>
                </c:pt>
                <c:pt idx="160">
                  <c:v>87.520498424026343</c:v>
                </c:pt>
                <c:pt idx="161">
                  <c:v>86.922723952021457</c:v>
                </c:pt>
                <c:pt idx="162">
                  <c:v>86.585658815607346</c:v>
                </c:pt>
                <c:pt idx="163">
                  <c:v>86.565458815607343</c:v>
                </c:pt>
                <c:pt idx="164">
                  <c:v>86.565458815607343</c:v>
                </c:pt>
                <c:pt idx="165">
                  <c:v>86.859923952021461</c:v>
                </c:pt>
                <c:pt idx="166">
                  <c:v>87.144732734313678</c:v>
                </c:pt>
                <c:pt idx="167">
                  <c:v>87.311240509996296</c:v>
                </c:pt>
                <c:pt idx="168">
                  <c:v>86.815014861112374</c:v>
                </c:pt>
                <c:pt idx="169">
                  <c:v>86.474186088334619</c:v>
                </c:pt>
                <c:pt idx="170">
                  <c:v>86.124659484472602</c:v>
                </c:pt>
                <c:pt idx="171">
                  <c:v>85.43696581704458</c:v>
                </c:pt>
                <c:pt idx="172">
                  <c:v>85.441581201659957</c:v>
                </c:pt>
                <c:pt idx="173">
                  <c:v>85.814004910038733</c:v>
                </c:pt>
                <c:pt idx="174">
                  <c:v>86.160659484472603</c:v>
                </c:pt>
                <c:pt idx="175">
                  <c:v>86.160659484472603</c:v>
                </c:pt>
                <c:pt idx="176">
                  <c:v>86.160659484472603</c:v>
                </c:pt>
                <c:pt idx="177">
                  <c:v>86.508125482274011</c:v>
                </c:pt>
                <c:pt idx="178">
                  <c:v>86.845257285354791</c:v>
                </c:pt>
                <c:pt idx="179">
                  <c:v>87.391748424026332</c:v>
                </c:pt>
                <c:pt idx="180">
                  <c:v>87.616527655185976</c:v>
                </c:pt>
                <c:pt idx="181">
                  <c:v>87.652777655185972</c:v>
                </c:pt>
                <c:pt idx="182">
                  <c:v>87.832777655185964</c:v>
                </c:pt>
                <c:pt idx="183">
                  <c:v>87.720498424026331</c:v>
                </c:pt>
                <c:pt idx="184">
                  <c:v>87.720498424026331</c:v>
                </c:pt>
                <c:pt idx="185">
                  <c:v>87.444732734313675</c:v>
                </c:pt>
                <c:pt idx="186">
                  <c:v>87.123081846758311</c:v>
                </c:pt>
                <c:pt idx="187">
                  <c:v>86.163721509229021</c:v>
                </c:pt>
                <c:pt idx="188">
                  <c:v>86.096774140807966</c:v>
                </c:pt>
                <c:pt idx="189">
                  <c:v>86.62945881560735</c:v>
                </c:pt>
                <c:pt idx="190">
                  <c:v>87.395736519264432</c:v>
                </c:pt>
                <c:pt idx="191">
                  <c:v>87.30621270974062</c:v>
                </c:pt>
                <c:pt idx="192">
                  <c:v>86.939515343009333</c:v>
                </c:pt>
                <c:pt idx="193">
                  <c:v>87.087454945765472</c:v>
                </c:pt>
                <c:pt idx="194">
                  <c:v>87.380806144555535</c:v>
                </c:pt>
                <c:pt idx="195">
                  <c:v>87.3442844054251</c:v>
                </c:pt>
                <c:pt idx="196">
                  <c:v>86.920498424026334</c:v>
                </c:pt>
                <c:pt idx="197">
                  <c:v>86.623932734313684</c:v>
                </c:pt>
                <c:pt idx="198">
                  <c:v>86.855698424026343</c:v>
                </c:pt>
                <c:pt idx="199">
                  <c:v>87.337077198473324</c:v>
                </c:pt>
                <c:pt idx="200">
                  <c:v>87.546716887490874</c:v>
                </c:pt>
                <c:pt idx="201">
                  <c:v>86.99206336947168</c:v>
                </c:pt>
                <c:pt idx="202">
                  <c:v>86.871915586220453</c:v>
                </c:pt>
                <c:pt idx="203">
                  <c:v>86.739501793117</c:v>
                </c:pt>
                <c:pt idx="204">
                  <c:v>85.977260720593165</c:v>
                </c:pt>
                <c:pt idx="205">
                  <c:v>85.597999745473658</c:v>
                </c:pt>
                <c:pt idx="206">
                  <c:v>85.526363381837285</c:v>
                </c:pt>
                <c:pt idx="207">
                  <c:v>86.050634449390245</c:v>
                </c:pt>
                <c:pt idx="208">
                  <c:v>86.378634798043109</c:v>
                </c:pt>
                <c:pt idx="209">
                  <c:v>85.748732734313677</c:v>
                </c:pt>
                <c:pt idx="210">
                  <c:v>85.660732734313683</c:v>
                </c:pt>
                <c:pt idx="211">
                  <c:v>85.885363288891199</c:v>
                </c:pt>
                <c:pt idx="212">
                  <c:v>85.841038964566877</c:v>
                </c:pt>
                <c:pt idx="213">
                  <c:v>86.11077765518597</c:v>
                </c:pt>
                <c:pt idx="214">
                  <c:v>86.154277655185965</c:v>
                </c:pt>
                <c:pt idx="215">
                  <c:v>85.951926995454912</c:v>
                </c:pt>
                <c:pt idx="216">
                  <c:v>86.080498424026331</c:v>
                </c:pt>
                <c:pt idx="217">
                  <c:v>85.939018448599398</c:v>
                </c:pt>
                <c:pt idx="218">
                  <c:v>85.5762875883851</c:v>
                </c:pt>
                <c:pt idx="219">
                  <c:v>85.486287588385096</c:v>
                </c:pt>
                <c:pt idx="220">
                  <c:v>85.930498424026339</c:v>
                </c:pt>
                <c:pt idx="221">
                  <c:v>86.067777655185978</c:v>
                </c:pt>
                <c:pt idx="222">
                  <c:v>87.23077078996441</c:v>
                </c:pt>
                <c:pt idx="223">
                  <c:v>88.144084665586234</c:v>
                </c:pt>
                <c:pt idx="224">
                  <c:v>88.561367202166778</c:v>
                </c:pt>
                <c:pt idx="225">
                  <c:v>89.145286568102932</c:v>
                </c:pt>
                <c:pt idx="226">
                  <c:v>89.323565611015255</c:v>
                </c:pt>
                <c:pt idx="227">
                  <c:v>88.685771805816259</c:v>
                </c:pt>
                <c:pt idx="228">
                  <c:v>87.620379402428327</c:v>
                </c:pt>
                <c:pt idx="229">
                  <c:v>87.582484665586222</c:v>
                </c:pt>
                <c:pt idx="230">
                  <c:v>87.158698684187456</c:v>
                </c:pt>
                <c:pt idx="231">
                  <c:v>87.373175992022922</c:v>
                </c:pt>
                <c:pt idx="232">
                  <c:v>86.938790998158197</c:v>
                </c:pt>
                <c:pt idx="233">
                  <c:v>85.997683274045485</c:v>
                </c:pt>
                <c:pt idx="234">
                  <c:v>87.537778783233293</c:v>
                </c:pt>
                <c:pt idx="235">
                  <c:v>88.092337368429213</c:v>
                </c:pt>
                <c:pt idx="236">
                  <c:v>86.613170789964414</c:v>
                </c:pt>
                <c:pt idx="237">
                  <c:v>89.337565730324201</c:v>
                </c:pt>
                <c:pt idx="238">
                  <c:v>91.304531414619447</c:v>
                </c:pt>
                <c:pt idx="239">
                  <c:v>91.086582696670717</c:v>
                </c:pt>
                <c:pt idx="240">
                  <c:v>91.150809641873437</c:v>
                </c:pt>
                <c:pt idx="241">
                  <c:v>91.799000722127261</c:v>
                </c:pt>
                <c:pt idx="242">
                  <c:v>89.594251499971307</c:v>
                </c:pt>
                <c:pt idx="243">
                  <c:v>88.558485270554087</c:v>
                </c:pt>
                <c:pt idx="244">
                  <c:v>91.296332694299565</c:v>
                </c:pt>
                <c:pt idx="245">
                  <c:v>92.123979448530918</c:v>
                </c:pt>
                <c:pt idx="246">
                  <c:v>91.817263251863366</c:v>
                </c:pt>
                <c:pt idx="247">
                  <c:v>90.567677111752957</c:v>
                </c:pt>
                <c:pt idx="248">
                  <c:v>90.041098337305968</c:v>
                </c:pt>
                <c:pt idx="249">
                  <c:v>91.982694823882184</c:v>
                </c:pt>
                <c:pt idx="250">
                  <c:v>90.614092206092579</c:v>
                </c:pt>
                <c:pt idx="251">
                  <c:v>91.850145628418957</c:v>
                </c:pt>
                <c:pt idx="252">
                  <c:v>92.079298597467087</c:v>
                </c:pt>
                <c:pt idx="253">
                  <c:v>90.033995998330568</c:v>
                </c:pt>
                <c:pt idx="254">
                  <c:v>87.590587234500262</c:v>
                </c:pt>
                <c:pt idx="255">
                  <c:v>87.709640830968894</c:v>
                </c:pt>
                <c:pt idx="256">
                  <c:v>91.106008576370471</c:v>
                </c:pt>
              </c:numCache>
            </c:numRef>
          </c:yVal>
        </c:ser>
        <c:ser>
          <c:idx val="1"/>
          <c:order val="2"/>
          <c:tx>
            <c:strRef>
              <c:f>'FRS8-4'!$Q$17</c:f>
              <c:strCache>
                <c:ptCount val="1"/>
                <c:pt idx="0">
                  <c:v>FRS8-4 (2)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'FRS8-4'!$B$18:$B$274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'FRS8-4'!$Q$18:$Q$274</c:f>
              <c:numCache>
                <c:formatCode>General</c:formatCode>
                <c:ptCount val="257"/>
                <c:pt idx="86">
                  <c:v>85.344732734313666</c:v>
                </c:pt>
                <c:pt idx="87">
                  <c:v>85.400590737997078</c:v>
                </c:pt>
                <c:pt idx="88">
                  <c:v>85.511240509996298</c:v>
                </c:pt>
                <c:pt idx="89">
                  <c:v>85.620498424026351</c:v>
                </c:pt>
                <c:pt idx="90">
                  <c:v>85.620498424026351</c:v>
                </c:pt>
                <c:pt idx="91">
                  <c:v>85.887777655185971</c:v>
                </c:pt>
                <c:pt idx="92">
                  <c:v>85.887777655185971</c:v>
                </c:pt>
                <c:pt idx="93">
                  <c:v>86.147077198473326</c:v>
                </c:pt>
                <c:pt idx="94">
                  <c:v>86.248667709058822</c:v>
                </c:pt>
                <c:pt idx="95">
                  <c:v>86.349083736559834</c:v>
                </c:pt>
                <c:pt idx="96">
                  <c:v>86.497564098143982</c:v>
                </c:pt>
                <c:pt idx="97">
                  <c:v>86.643548872973952</c:v>
                </c:pt>
                <c:pt idx="98">
                  <c:v>86.739526530609339</c:v>
                </c:pt>
                <c:pt idx="99">
                  <c:v>86.881533338968126</c:v>
                </c:pt>
                <c:pt idx="100">
                  <c:v>86.881533338968126</c:v>
                </c:pt>
                <c:pt idx="101">
                  <c:v>86.941533338968128</c:v>
                </c:pt>
                <c:pt idx="102">
                  <c:v>87.213170789964423</c:v>
                </c:pt>
                <c:pt idx="103">
                  <c:v>87.213170789964423</c:v>
                </c:pt>
                <c:pt idx="104">
                  <c:v>87.213170789964423</c:v>
                </c:pt>
                <c:pt idx="105">
                  <c:v>87.438790998158211</c:v>
                </c:pt>
                <c:pt idx="106">
                  <c:v>87.571402576138468</c:v>
                </c:pt>
                <c:pt idx="107">
                  <c:v>87.65869868418747</c:v>
                </c:pt>
                <c:pt idx="108">
                  <c:v>87.745126159840311</c:v>
                </c:pt>
                <c:pt idx="109">
                  <c:v>87.9154431782909</c:v>
                </c:pt>
                <c:pt idx="110">
                  <c:v>87.957505680046182</c:v>
                </c:pt>
                <c:pt idx="111">
                  <c:v>87.957505680046182</c:v>
                </c:pt>
                <c:pt idx="112">
                  <c:v>88.04102449312893</c:v>
                </c:pt>
                <c:pt idx="113">
                  <c:v>88.097484665586236</c:v>
                </c:pt>
                <c:pt idx="114">
                  <c:v>88.156484665586248</c:v>
                </c:pt>
                <c:pt idx="115">
                  <c:v>88.182484665586244</c:v>
                </c:pt>
                <c:pt idx="116">
                  <c:v>88.182484665586244</c:v>
                </c:pt>
                <c:pt idx="117">
                  <c:v>88.386867969219949</c:v>
                </c:pt>
                <c:pt idx="118">
                  <c:v>88.586552387351972</c:v>
                </c:pt>
                <c:pt idx="119">
                  <c:v>88.586552387351972</c:v>
                </c:pt>
                <c:pt idx="120">
                  <c:v>88.507228642999948</c:v>
                </c:pt>
                <c:pt idx="121">
                  <c:v>88.586552387351972</c:v>
                </c:pt>
                <c:pt idx="122">
                  <c:v>88.586552387351972</c:v>
                </c:pt>
                <c:pt idx="123">
                  <c:v>88.507228642999948</c:v>
                </c:pt>
                <c:pt idx="124">
                  <c:v>88.586552387351972</c:v>
                </c:pt>
                <c:pt idx="125">
                  <c:v>88.586552387351972</c:v>
                </c:pt>
                <c:pt idx="126">
                  <c:v>88.50472864299995</c:v>
                </c:pt>
                <c:pt idx="127">
                  <c:v>88.423293447878436</c:v>
                </c:pt>
                <c:pt idx="128">
                  <c:v>88.300367969219948</c:v>
                </c:pt>
                <c:pt idx="129">
                  <c:v>88.246374237891658</c:v>
                </c:pt>
                <c:pt idx="130">
                  <c:v>88.164815989482875</c:v>
                </c:pt>
                <c:pt idx="131">
                  <c:v>88.06248466558624</c:v>
                </c:pt>
                <c:pt idx="132">
                  <c:v>88.01498466558624</c:v>
                </c:pt>
                <c:pt idx="133">
                  <c:v>87.969684665586243</c:v>
                </c:pt>
                <c:pt idx="134">
                  <c:v>87.930084665586236</c:v>
                </c:pt>
                <c:pt idx="135">
                  <c:v>87.889284665586246</c:v>
                </c:pt>
                <c:pt idx="136">
                  <c:v>87.882484665586247</c:v>
                </c:pt>
                <c:pt idx="137">
                  <c:v>87.882484665586247</c:v>
                </c:pt>
                <c:pt idx="138">
                  <c:v>87.987615989482876</c:v>
                </c:pt>
                <c:pt idx="139">
                  <c:v>88.15486796921995</c:v>
                </c:pt>
                <c:pt idx="140">
                  <c:v>88.307228642999945</c:v>
                </c:pt>
                <c:pt idx="141">
                  <c:v>88.465158259920628</c:v>
                </c:pt>
                <c:pt idx="142">
                  <c:v>88.581749133135105</c:v>
                </c:pt>
                <c:pt idx="143">
                  <c:v>88.69679571091693</c:v>
                </c:pt>
                <c:pt idx="144">
                  <c:v>88.772655491259712</c:v>
                </c:pt>
                <c:pt idx="145">
                  <c:v>88.847858468725832</c:v>
                </c:pt>
                <c:pt idx="146">
                  <c:v>88.99633883030998</c:v>
                </c:pt>
                <c:pt idx="147">
                  <c:v>89.14232360513995</c:v>
                </c:pt>
                <c:pt idx="148">
                  <c:v>89.14232360513995</c:v>
                </c:pt>
                <c:pt idx="149">
                  <c:v>89.117180747997097</c:v>
                </c:pt>
                <c:pt idx="150">
                  <c:v>88.846313159199696</c:v>
                </c:pt>
                <c:pt idx="151">
                  <c:v>88.759456016342554</c:v>
                </c:pt>
                <c:pt idx="152">
                  <c:v>88.759456016342554</c:v>
                </c:pt>
                <c:pt idx="153">
                  <c:v>88.942323605139947</c:v>
                </c:pt>
                <c:pt idx="154">
                  <c:v>88.968323605139943</c:v>
                </c:pt>
                <c:pt idx="155">
                  <c:v>89.191170458198499</c:v>
                </c:pt>
                <c:pt idx="156">
                  <c:v>89.221420458198509</c:v>
                </c:pt>
                <c:pt idx="157">
                  <c:v>89.042323605139956</c:v>
                </c:pt>
                <c:pt idx="158">
                  <c:v>88.672655491259718</c:v>
                </c:pt>
                <c:pt idx="159">
                  <c:v>88.286552387351975</c:v>
                </c:pt>
                <c:pt idx="160">
                  <c:v>87.673175992022934</c:v>
                </c:pt>
                <c:pt idx="161">
                  <c:v>87.421498684187469</c:v>
                </c:pt>
                <c:pt idx="162">
                  <c:v>86.933370789964428</c:v>
                </c:pt>
                <c:pt idx="163">
                  <c:v>86.913170789964425</c:v>
                </c:pt>
                <c:pt idx="164">
                  <c:v>86.913170789964425</c:v>
                </c:pt>
                <c:pt idx="165">
                  <c:v>86.913170789964425</c:v>
                </c:pt>
                <c:pt idx="166">
                  <c:v>87.138790998158214</c:v>
                </c:pt>
                <c:pt idx="167">
                  <c:v>87.358698684187473</c:v>
                </c:pt>
                <c:pt idx="168">
                  <c:v>87.313789593278386</c:v>
                </c:pt>
                <c:pt idx="169">
                  <c:v>86.821898062691702</c:v>
                </c:pt>
                <c:pt idx="170">
                  <c:v>86.545533338968127</c:v>
                </c:pt>
                <c:pt idx="171">
                  <c:v>86.263548872973956</c:v>
                </c:pt>
                <c:pt idx="172">
                  <c:v>85.771692583088708</c:v>
                </c:pt>
                <c:pt idx="173">
                  <c:v>85.816307967704091</c:v>
                </c:pt>
                <c:pt idx="174">
                  <c:v>86.343548872973955</c:v>
                </c:pt>
                <c:pt idx="175">
                  <c:v>86.581533338968129</c:v>
                </c:pt>
                <c:pt idx="176">
                  <c:v>86.581533338968129</c:v>
                </c:pt>
                <c:pt idx="177">
                  <c:v>86.624200005634791</c:v>
                </c:pt>
                <c:pt idx="178">
                  <c:v>86.666866672301452</c:v>
                </c:pt>
                <c:pt idx="179">
                  <c:v>87.329948684187471</c:v>
                </c:pt>
                <c:pt idx="180">
                  <c:v>87.711234665586247</c:v>
                </c:pt>
                <c:pt idx="181">
                  <c:v>88.15155238735197</c:v>
                </c:pt>
                <c:pt idx="182">
                  <c:v>88.13186796921994</c:v>
                </c:pt>
                <c:pt idx="183">
                  <c:v>88.082484665586236</c:v>
                </c:pt>
                <c:pt idx="184">
                  <c:v>87.65869868418747</c:v>
                </c:pt>
                <c:pt idx="185">
                  <c:v>87.213170789964423</c:v>
                </c:pt>
                <c:pt idx="186">
                  <c:v>86.462017639370586</c:v>
                </c:pt>
                <c:pt idx="187">
                  <c:v>85.363680102734719</c:v>
                </c:pt>
                <c:pt idx="188">
                  <c:v>85.296732734313665</c:v>
                </c:pt>
                <c:pt idx="189">
                  <c:v>85.484498424026356</c:v>
                </c:pt>
                <c:pt idx="190">
                  <c:v>86.65677143420622</c:v>
                </c:pt>
                <c:pt idx="191">
                  <c:v>87.0245052838725</c:v>
                </c:pt>
                <c:pt idx="192">
                  <c:v>86.933573606853869</c:v>
                </c:pt>
                <c:pt idx="193">
                  <c:v>87.240132513762063</c:v>
                </c:pt>
                <c:pt idx="194">
                  <c:v>87.918270872265538</c:v>
                </c:pt>
                <c:pt idx="195">
                  <c:v>88.442323605139947</c:v>
                </c:pt>
                <c:pt idx="196">
                  <c:v>88.442323605139947</c:v>
                </c:pt>
                <c:pt idx="197">
                  <c:v>87.665752387351972</c:v>
                </c:pt>
                <c:pt idx="198">
                  <c:v>87.217684665586248</c:v>
                </c:pt>
                <c:pt idx="199">
                  <c:v>87.771749133135103</c:v>
                </c:pt>
                <c:pt idx="200">
                  <c:v>88.107313159199705</c:v>
                </c:pt>
                <c:pt idx="201">
                  <c:v>87.490838101637678</c:v>
                </c:pt>
                <c:pt idx="202">
                  <c:v>86.966622596620724</c:v>
                </c:pt>
                <c:pt idx="203">
                  <c:v>87.038592107150976</c:v>
                </c:pt>
                <c:pt idx="204">
                  <c:v>86.084124331491552</c:v>
                </c:pt>
                <c:pt idx="205">
                  <c:v>85.536200005634797</c:v>
                </c:pt>
                <c:pt idx="206">
                  <c:v>85.464563641998424</c:v>
                </c:pt>
                <c:pt idx="207">
                  <c:v>86.098092623581422</c:v>
                </c:pt>
                <c:pt idx="208">
                  <c:v>86.877409530209107</c:v>
                </c:pt>
                <c:pt idx="209">
                  <c:v>86.790552387351966</c:v>
                </c:pt>
                <c:pt idx="210">
                  <c:v>86.298484665586244</c:v>
                </c:pt>
                <c:pt idx="211">
                  <c:v>86.247349530451103</c:v>
                </c:pt>
                <c:pt idx="212">
                  <c:v>86.407408509760486</c:v>
                </c:pt>
                <c:pt idx="213">
                  <c:v>86.609552387351968</c:v>
                </c:pt>
                <c:pt idx="214">
                  <c:v>87.039155491259706</c:v>
                </c:pt>
                <c:pt idx="215">
                  <c:v>86.717980958780544</c:v>
                </c:pt>
                <c:pt idx="216">
                  <c:v>87.602323605139944</c:v>
                </c:pt>
                <c:pt idx="217">
                  <c:v>87.553741730628275</c:v>
                </c:pt>
                <c:pt idx="218">
                  <c:v>87.658687241503586</c:v>
                </c:pt>
                <c:pt idx="219">
                  <c:v>87.199019127623345</c:v>
                </c:pt>
                <c:pt idx="220">
                  <c:v>88.791259397752242</c:v>
                </c:pt>
                <c:pt idx="221">
                  <c:v>90.088377568465603</c:v>
                </c:pt>
                <c:pt idx="222">
                  <c:v>90.781748786253573</c:v>
                </c:pt>
                <c:pt idx="223">
                  <c:v>91.29537070324406</c:v>
                </c:pt>
                <c:pt idx="224">
                  <c:v>91.308585518058862</c:v>
                </c:pt>
                <c:pt idx="225">
                  <c:v>89.36829561055626</c:v>
                </c:pt>
                <c:pt idx="226">
                  <c:v>86.213219054018637</c:v>
                </c:pt>
                <c:pt idx="227">
                  <c:v>83.614093444659659</c:v>
                </c:pt>
                <c:pt idx="228">
                  <c:v>82.098554221314714</c:v>
                </c:pt>
                <c:pt idx="229">
                  <c:v>82.944732734313661</c:v>
                </c:pt>
                <c:pt idx="230">
                  <c:v>82.659923952021472</c:v>
                </c:pt>
                <c:pt idx="231">
                  <c:v>81.07629903106897</c:v>
                </c:pt>
                <c:pt idx="232">
                  <c:v>82.944732734313661</c:v>
                </c:pt>
                <c:pt idx="233">
                  <c:v>83.9976832740455</c:v>
                </c:pt>
                <c:pt idx="234">
                  <c:v>85.328470109669993</c:v>
                </c:pt>
                <c:pt idx="235">
                  <c:v>86.283243726553835</c:v>
                </c:pt>
                <c:pt idx="236">
                  <c:v>88.286058728886957</c:v>
                </c:pt>
                <c:pt idx="237">
                  <c:v>89.667677111752951</c:v>
                </c:pt>
                <c:pt idx="238">
                  <c:v>91.603621728653422</c:v>
                </c:pt>
                <c:pt idx="239">
                  <c:v>91.385673010704693</c:v>
                </c:pt>
                <c:pt idx="240">
                  <c:v>91.39028483075208</c:v>
                </c:pt>
                <c:pt idx="241">
                  <c:v>91.876923399501706</c:v>
                </c:pt>
                <c:pt idx="242">
                  <c:v>91.788248700706518</c:v>
                </c:pt>
                <c:pt idx="243">
                  <c:v>88.086252187823177</c:v>
                </c:pt>
                <c:pt idx="244">
                  <c:v>86.469749638370175</c:v>
                </c:pt>
                <c:pt idx="245">
                  <c:v>87.330739579950787</c:v>
                </c:pt>
                <c:pt idx="246">
                  <c:v>88.098970677731515</c:v>
                </c:pt>
                <c:pt idx="247">
                  <c:v>88.041098337305982</c:v>
                </c:pt>
                <c:pt idx="248">
                  <c:v>87.186058728886962</c:v>
                </c:pt>
                <c:pt idx="249">
                  <c:v>87.189454955302054</c:v>
                </c:pt>
                <c:pt idx="250">
                  <c:v>86.927674492091867</c:v>
                </c:pt>
                <c:pt idx="251">
                  <c:v>87.276813445868086</c:v>
                </c:pt>
                <c:pt idx="252">
                  <c:v>87.580523865301103</c:v>
                </c:pt>
                <c:pt idx="253">
                  <c:v>87.749187216038365</c:v>
                </c:pt>
                <c:pt idx="254">
                  <c:v>88.183264390833855</c:v>
                </c:pt>
                <c:pt idx="255">
                  <c:v>87.91395042672076</c:v>
                </c:pt>
                <c:pt idx="256">
                  <c:v>89.63258735081746</c:v>
                </c:pt>
              </c:numCache>
            </c:numRef>
          </c:yVal>
        </c:ser>
        <c:axId val="53981952"/>
        <c:axId val="53983872"/>
      </c:scatterChart>
      <c:valAx>
        <c:axId val="53981952"/>
        <c:scaling>
          <c:logBase val="10"/>
          <c:orientation val="minMax"/>
          <c:max val="3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9196528508552009"/>
              <c:y val="0.86535688247302889"/>
            </c:manualLayout>
          </c:layout>
        </c:title>
        <c:numFmt formatCode="General" sourceLinked="1"/>
        <c:tickLblPos val="nextTo"/>
        <c:crossAx val="53983872"/>
        <c:crossesAt val="-30"/>
        <c:crossBetween val="midCat"/>
      </c:valAx>
      <c:valAx>
        <c:axId val="53983872"/>
        <c:scaling>
          <c:orientation val="minMax"/>
          <c:max val="100"/>
          <c:min val="6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[dB]</a:t>
                </a:r>
              </a:p>
            </c:rich>
          </c:tx>
          <c:layout>
            <c:manualLayout>
              <c:xMode val="edge"/>
              <c:yMode val="edge"/>
              <c:x val="0"/>
              <c:y val="6.4734450561686724E-2"/>
            </c:manualLayout>
          </c:layout>
        </c:title>
        <c:numFmt formatCode="General" sourceLinked="1"/>
        <c:tickLblPos val="nextTo"/>
        <c:crossAx val="53981952"/>
        <c:crosses val="autoZero"/>
        <c:crossBetween val="midCat"/>
        <c:majorUnit val="5"/>
      </c:valAx>
    </c:plotArea>
    <c:legend>
      <c:legendPos val="b"/>
      <c:layout>
        <c:manualLayout>
          <c:xMode val="edge"/>
          <c:yMode val="edge"/>
          <c:x val="0.11378472305190611"/>
          <c:y val="0.91628280839894949"/>
          <c:w val="0.77243055389618975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5057643111066957"/>
          <c:y val="5.1400554097404488E-2"/>
          <c:w val="0.78640247184291057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'FRS8-4'!$I$17</c:f>
              <c:strCache>
                <c:ptCount val="1"/>
                <c:pt idx="0">
                  <c:v>FRS8-4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'FRS8-4'!$B$18:$B$274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'FRS8-4'!$J$18:$J$274</c:f>
              <c:numCache>
                <c:formatCode>General</c:formatCode>
                <c:ptCount val="257"/>
                <c:pt idx="0">
                  <c:v>175.43</c:v>
                </c:pt>
                <c:pt idx="1">
                  <c:v>175.3</c:v>
                </c:pt>
                <c:pt idx="2">
                  <c:v>175.16</c:v>
                </c:pt>
                <c:pt idx="3">
                  <c:v>175.02</c:v>
                </c:pt>
                <c:pt idx="4">
                  <c:v>174.88</c:v>
                </c:pt>
                <c:pt idx="5">
                  <c:v>174.73</c:v>
                </c:pt>
                <c:pt idx="6">
                  <c:v>174.58</c:v>
                </c:pt>
                <c:pt idx="7">
                  <c:v>174.42</c:v>
                </c:pt>
                <c:pt idx="8">
                  <c:v>174.25</c:v>
                </c:pt>
                <c:pt idx="9">
                  <c:v>174.08</c:v>
                </c:pt>
                <c:pt idx="10">
                  <c:v>173.91</c:v>
                </c:pt>
                <c:pt idx="11">
                  <c:v>173.73</c:v>
                </c:pt>
                <c:pt idx="12">
                  <c:v>173.54</c:v>
                </c:pt>
                <c:pt idx="13">
                  <c:v>173.35</c:v>
                </c:pt>
                <c:pt idx="14">
                  <c:v>173.15</c:v>
                </c:pt>
                <c:pt idx="15">
                  <c:v>172.94</c:v>
                </c:pt>
                <c:pt idx="16">
                  <c:v>172.72</c:v>
                </c:pt>
                <c:pt idx="17">
                  <c:v>172.5</c:v>
                </c:pt>
                <c:pt idx="18">
                  <c:v>172.27</c:v>
                </c:pt>
                <c:pt idx="19">
                  <c:v>172.03</c:v>
                </c:pt>
                <c:pt idx="20">
                  <c:v>171.78</c:v>
                </c:pt>
                <c:pt idx="21">
                  <c:v>171.52</c:v>
                </c:pt>
                <c:pt idx="22">
                  <c:v>171.26</c:v>
                </c:pt>
                <c:pt idx="23">
                  <c:v>170.98</c:v>
                </c:pt>
                <c:pt idx="24">
                  <c:v>170.69</c:v>
                </c:pt>
                <c:pt idx="25">
                  <c:v>170.39</c:v>
                </c:pt>
                <c:pt idx="26">
                  <c:v>170.08</c:v>
                </c:pt>
                <c:pt idx="27">
                  <c:v>169.75</c:v>
                </c:pt>
                <c:pt idx="28">
                  <c:v>169.42</c:v>
                </c:pt>
                <c:pt idx="29">
                  <c:v>169.06</c:v>
                </c:pt>
                <c:pt idx="30">
                  <c:v>168.7</c:v>
                </c:pt>
                <c:pt idx="31">
                  <c:v>168.32</c:v>
                </c:pt>
                <c:pt idx="32">
                  <c:v>167.92</c:v>
                </c:pt>
                <c:pt idx="33">
                  <c:v>167.5</c:v>
                </c:pt>
                <c:pt idx="34">
                  <c:v>167.06</c:v>
                </c:pt>
                <c:pt idx="35">
                  <c:v>166.61</c:v>
                </c:pt>
                <c:pt idx="36">
                  <c:v>166.13</c:v>
                </c:pt>
                <c:pt idx="37">
                  <c:v>165.64</c:v>
                </c:pt>
                <c:pt idx="38">
                  <c:v>165.12</c:v>
                </c:pt>
                <c:pt idx="39">
                  <c:v>164.57</c:v>
                </c:pt>
                <c:pt idx="40">
                  <c:v>164</c:v>
                </c:pt>
                <c:pt idx="41">
                  <c:v>163.4</c:v>
                </c:pt>
                <c:pt idx="42">
                  <c:v>162.77000000000001</c:v>
                </c:pt>
                <c:pt idx="43">
                  <c:v>162.11000000000001</c:v>
                </c:pt>
                <c:pt idx="44">
                  <c:v>161.41</c:v>
                </c:pt>
                <c:pt idx="45">
                  <c:v>160.68</c:v>
                </c:pt>
                <c:pt idx="46">
                  <c:v>159.91</c:v>
                </c:pt>
                <c:pt idx="47">
                  <c:v>159.11000000000001</c:v>
                </c:pt>
                <c:pt idx="48">
                  <c:v>158.26</c:v>
                </c:pt>
                <c:pt idx="49">
                  <c:v>157.36000000000001</c:v>
                </c:pt>
                <c:pt idx="50">
                  <c:v>156.41999999999999</c:v>
                </c:pt>
                <c:pt idx="51">
                  <c:v>155.41999999999999</c:v>
                </c:pt>
                <c:pt idx="52">
                  <c:v>154.37</c:v>
                </c:pt>
                <c:pt idx="53">
                  <c:v>153.27000000000001</c:v>
                </c:pt>
                <c:pt idx="54">
                  <c:v>152.1</c:v>
                </c:pt>
                <c:pt idx="55">
                  <c:v>150.88</c:v>
                </c:pt>
                <c:pt idx="56">
                  <c:v>149.58000000000001</c:v>
                </c:pt>
                <c:pt idx="57">
                  <c:v>148.22</c:v>
                </c:pt>
                <c:pt idx="58">
                  <c:v>146.78</c:v>
                </c:pt>
                <c:pt idx="59">
                  <c:v>145.27000000000001</c:v>
                </c:pt>
                <c:pt idx="60">
                  <c:v>143.68</c:v>
                </c:pt>
                <c:pt idx="61">
                  <c:v>142</c:v>
                </c:pt>
                <c:pt idx="62">
                  <c:v>140.25</c:v>
                </c:pt>
                <c:pt idx="63">
                  <c:v>138.41</c:v>
                </c:pt>
                <c:pt idx="64">
                  <c:v>136.47999999999999</c:v>
                </c:pt>
                <c:pt idx="65">
                  <c:v>134.47</c:v>
                </c:pt>
                <c:pt idx="66">
                  <c:v>132.37</c:v>
                </c:pt>
                <c:pt idx="67">
                  <c:v>130.19</c:v>
                </c:pt>
                <c:pt idx="68">
                  <c:v>127.93</c:v>
                </c:pt>
                <c:pt idx="69">
                  <c:v>125.59</c:v>
                </c:pt>
                <c:pt idx="70">
                  <c:v>123.18</c:v>
                </c:pt>
                <c:pt idx="71">
                  <c:v>120.71</c:v>
                </c:pt>
                <c:pt idx="72">
                  <c:v>118.18</c:v>
                </c:pt>
                <c:pt idx="73">
                  <c:v>115.6</c:v>
                </c:pt>
                <c:pt idx="74">
                  <c:v>112.98</c:v>
                </c:pt>
                <c:pt idx="75">
                  <c:v>110.33</c:v>
                </c:pt>
                <c:pt idx="76">
                  <c:v>107.64</c:v>
                </c:pt>
                <c:pt idx="77">
                  <c:v>104.95</c:v>
                </c:pt>
                <c:pt idx="78">
                  <c:v>102.25</c:v>
                </c:pt>
                <c:pt idx="79">
                  <c:v>99.563000000000002</c:v>
                </c:pt>
                <c:pt idx="80">
                  <c:v>96.933000000000007</c:v>
                </c:pt>
                <c:pt idx="81">
                  <c:v>94.350999999999999</c:v>
                </c:pt>
                <c:pt idx="82">
                  <c:v>91.816999999999993</c:v>
                </c:pt>
                <c:pt idx="83">
                  <c:v>89.355999999999995</c:v>
                </c:pt>
                <c:pt idx="84">
                  <c:v>86.935000000000002</c:v>
                </c:pt>
                <c:pt idx="85">
                  <c:v>84.597999999999999</c:v>
                </c:pt>
                <c:pt idx="86">
                  <c:v>82.313999999999993</c:v>
                </c:pt>
                <c:pt idx="87">
                  <c:v>80.156999999999996</c:v>
                </c:pt>
                <c:pt idx="88">
                  <c:v>78.129000000000005</c:v>
                </c:pt>
                <c:pt idx="89">
                  <c:v>76.027000000000001</c:v>
                </c:pt>
                <c:pt idx="90">
                  <c:v>73.893000000000001</c:v>
                </c:pt>
                <c:pt idx="91">
                  <c:v>71.905000000000001</c:v>
                </c:pt>
                <c:pt idx="92">
                  <c:v>70.182000000000002</c:v>
                </c:pt>
                <c:pt idx="93">
                  <c:v>68.766999999999996</c:v>
                </c:pt>
                <c:pt idx="94">
                  <c:v>67.332999999999998</c:v>
                </c:pt>
                <c:pt idx="95">
                  <c:v>65.453000000000003</c:v>
                </c:pt>
                <c:pt idx="96">
                  <c:v>63.289000000000001</c:v>
                </c:pt>
                <c:pt idx="97">
                  <c:v>61.122</c:v>
                </c:pt>
                <c:pt idx="98">
                  <c:v>59.014000000000003</c:v>
                </c:pt>
                <c:pt idx="99">
                  <c:v>57.499000000000002</c:v>
                </c:pt>
                <c:pt idx="100">
                  <c:v>56.512999999999998</c:v>
                </c:pt>
                <c:pt idx="101">
                  <c:v>55.209000000000003</c:v>
                </c:pt>
                <c:pt idx="102">
                  <c:v>53.838999999999999</c:v>
                </c:pt>
                <c:pt idx="103">
                  <c:v>52.747999999999998</c:v>
                </c:pt>
                <c:pt idx="104">
                  <c:v>51.631</c:v>
                </c:pt>
                <c:pt idx="105">
                  <c:v>50.750999999999998</c:v>
                </c:pt>
                <c:pt idx="106">
                  <c:v>50.017000000000003</c:v>
                </c:pt>
                <c:pt idx="107">
                  <c:v>48.618000000000002</c:v>
                </c:pt>
                <c:pt idx="108">
                  <c:v>47.073999999999998</c:v>
                </c:pt>
                <c:pt idx="109">
                  <c:v>46.387999999999998</c:v>
                </c:pt>
                <c:pt idx="110">
                  <c:v>45.677</c:v>
                </c:pt>
                <c:pt idx="111">
                  <c:v>43.23</c:v>
                </c:pt>
                <c:pt idx="112">
                  <c:v>33.521999999999998</c:v>
                </c:pt>
                <c:pt idx="113">
                  <c:v>23.108000000000001</c:v>
                </c:pt>
                <c:pt idx="114">
                  <c:v>24.058</c:v>
                </c:pt>
                <c:pt idx="115">
                  <c:v>30.08</c:v>
                </c:pt>
                <c:pt idx="116">
                  <c:v>33.606000000000002</c:v>
                </c:pt>
                <c:pt idx="117">
                  <c:v>33.848999999999997</c:v>
                </c:pt>
                <c:pt idx="118">
                  <c:v>31.596</c:v>
                </c:pt>
                <c:pt idx="119">
                  <c:v>29.079000000000001</c:v>
                </c:pt>
                <c:pt idx="120">
                  <c:v>27.88</c:v>
                </c:pt>
                <c:pt idx="121">
                  <c:v>26.468</c:v>
                </c:pt>
                <c:pt idx="122">
                  <c:v>24.433</c:v>
                </c:pt>
                <c:pt idx="123">
                  <c:v>22.79</c:v>
                </c:pt>
                <c:pt idx="124">
                  <c:v>21.43</c:v>
                </c:pt>
                <c:pt idx="125">
                  <c:v>19.571999999999999</c:v>
                </c:pt>
                <c:pt idx="126">
                  <c:v>16.87</c:v>
                </c:pt>
                <c:pt idx="127">
                  <c:v>14.49</c:v>
                </c:pt>
                <c:pt idx="128">
                  <c:v>14.167999999999999</c:v>
                </c:pt>
                <c:pt idx="129">
                  <c:v>14.111000000000001</c:v>
                </c:pt>
                <c:pt idx="130">
                  <c:v>13.186</c:v>
                </c:pt>
                <c:pt idx="131">
                  <c:v>12.827999999999999</c:v>
                </c:pt>
                <c:pt idx="132">
                  <c:v>13.446</c:v>
                </c:pt>
                <c:pt idx="133">
                  <c:v>14.712</c:v>
                </c:pt>
                <c:pt idx="134">
                  <c:v>16.992999999999999</c:v>
                </c:pt>
                <c:pt idx="135">
                  <c:v>19.545999999999999</c:v>
                </c:pt>
                <c:pt idx="136">
                  <c:v>19.917000000000002</c:v>
                </c:pt>
                <c:pt idx="137">
                  <c:v>18.047000000000001</c:v>
                </c:pt>
                <c:pt idx="138">
                  <c:v>15.795999999999999</c:v>
                </c:pt>
                <c:pt idx="139">
                  <c:v>13.351000000000001</c:v>
                </c:pt>
                <c:pt idx="140">
                  <c:v>9.5563000000000002</c:v>
                </c:pt>
                <c:pt idx="141">
                  <c:v>4.4231999999999996</c:v>
                </c:pt>
                <c:pt idx="142">
                  <c:v>0.35410000000000003</c:v>
                </c:pt>
                <c:pt idx="143">
                  <c:v>-0.88900000000000001</c:v>
                </c:pt>
                <c:pt idx="144">
                  <c:v>-2.7639999999999998</c:v>
                </c:pt>
                <c:pt idx="145">
                  <c:v>-5.1269999999999998</c:v>
                </c:pt>
                <c:pt idx="146">
                  <c:v>-5.7160000000000002</c:v>
                </c:pt>
                <c:pt idx="147">
                  <c:v>-7.4180000000000001</c:v>
                </c:pt>
                <c:pt idx="148">
                  <c:v>-10.72</c:v>
                </c:pt>
                <c:pt idx="149">
                  <c:v>-14.76</c:v>
                </c:pt>
                <c:pt idx="150">
                  <c:v>-19.66</c:v>
                </c:pt>
                <c:pt idx="151">
                  <c:v>-24.6</c:v>
                </c:pt>
                <c:pt idx="152">
                  <c:v>-27.94</c:v>
                </c:pt>
                <c:pt idx="153">
                  <c:v>-28.13</c:v>
                </c:pt>
                <c:pt idx="154">
                  <c:v>-25.65</c:v>
                </c:pt>
                <c:pt idx="155">
                  <c:v>-24.11</c:v>
                </c:pt>
                <c:pt idx="156">
                  <c:v>-24.86</c:v>
                </c:pt>
                <c:pt idx="157">
                  <c:v>-25.49</c:v>
                </c:pt>
                <c:pt idx="158">
                  <c:v>-23.65</c:v>
                </c:pt>
                <c:pt idx="159">
                  <c:v>-19.760000000000002</c:v>
                </c:pt>
                <c:pt idx="160">
                  <c:v>-17.46</c:v>
                </c:pt>
                <c:pt idx="161">
                  <c:v>-18.739999999999998</c:v>
                </c:pt>
                <c:pt idx="162">
                  <c:v>-21.22</c:v>
                </c:pt>
                <c:pt idx="163">
                  <c:v>-22.7</c:v>
                </c:pt>
                <c:pt idx="164">
                  <c:v>-22.41</c:v>
                </c:pt>
                <c:pt idx="165">
                  <c:v>-20.65</c:v>
                </c:pt>
                <c:pt idx="166">
                  <c:v>-20.28</c:v>
                </c:pt>
                <c:pt idx="167">
                  <c:v>-23.73</c:v>
                </c:pt>
                <c:pt idx="168">
                  <c:v>-27.16</c:v>
                </c:pt>
                <c:pt idx="169">
                  <c:v>-26.8</c:v>
                </c:pt>
                <c:pt idx="170">
                  <c:v>-24.46</c:v>
                </c:pt>
                <c:pt idx="171">
                  <c:v>-22.91</c:v>
                </c:pt>
                <c:pt idx="172">
                  <c:v>-26.92</c:v>
                </c:pt>
                <c:pt idx="173">
                  <c:v>-34.57</c:v>
                </c:pt>
                <c:pt idx="174">
                  <c:v>-37.57</c:v>
                </c:pt>
                <c:pt idx="175">
                  <c:v>-36.44</c:v>
                </c:pt>
                <c:pt idx="176">
                  <c:v>-36.58</c:v>
                </c:pt>
                <c:pt idx="177">
                  <c:v>-40</c:v>
                </c:pt>
                <c:pt idx="178">
                  <c:v>-45.8</c:v>
                </c:pt>
                <c:pt idx="179">
                  <c:v>-48.55</c:v>
                </c:pt>
                <c:pt idx="180">
                  <c:v>-45.54</c:v>
                </c:pt>
                <c:pt idx="181">
                  <c:v>-42.77</c:v>
                </c:pt>
                <c:pt idx="182">
                  <c:v>-45.25</c:v>
                </c:pt>
                <c:pt idx="183">
                  <c:v>-47.47</c:v>
                </c:pt>
                <c:pt idx="184">
                  <c:v>-39.75</c:v>
                </c:pt>
                <c:pt idx="185">
                  <c:v>-28.55</c:v>
                </c:pt>
                <c:pt idx="186">
                  <c:v>-22.18</c:v>
                </c:pt>
                <c:pt idx="187">
                  <c:v>-16.989999999999998</c:v>
                </c:pt>
                <c:pt idx="188">
                  <c:v>-14.01</c:v>
                </c:pt>
                <c:pt idx="189">
                  <c:v>-13.07</c:v>
                </c:pt>
                <c:pt idx="190">
                  <c:v>-14.6</c:v>
                </c:pt>
                <c:pt idx="191">
                  <c:v>-22.61</c:v>
                </c:pt>
                <c:pt idx="192">
                  <c:v>-31.75</c:v>
                </c:pt>
                <c:pt idx="193">
                  <c:v>-39.32</c:v>
                </c:pt>
                <c:pt idx="194">
                  <c:v>-42.9</c:v>
                </c:pt>
                <c:pt idx="195">
                  <c:v>-45.84</c:v>
                </c:pt>
                <c:pt idx="196">
                  <c:v>-49.03</c:v>
                </c:pt>
                <c:pt idx="197">
                  <c:v>-49.74</c:v>
                </c:pt>
                <c:pt idx="198">
                  <c:v>-54.57</c:v>
                </c:pt>
                <c:pt idx="199">
                  <c:v>-61.48</c:v>
                </c:pt>
                <c:pt idx="200">
                  <c:v>-67.09</c:v>
                </c:pt>
                <c:pt idx="201">
                  <c:v>-70.64</c:v>
                </c:pt>
                <c:pt idx="202">
                  <c:v>-81.39</c:v>
                </c:pt>
                <c:pt idx="203">
                  <c:v>-91.74</c:v>
                </c:pt>
                <c:pt idx="204">
                  <c:v>-99.18</c:v>
                </c:pt>
                <c:pt idx="205">
                  <c:v>-100.6</c:v>
                </c:pt>
                <c:pt idx="206">
                  <c:v>-98.85</c:v>
                </c:pt>
                <c:pt idx="207">
                  <c:v>-101.3</c:v>
                </c:pt>
                <c:pt idx="208">
                  <c:v>-103.9</c:v>
                </c:pt>
                <c:pt idx="209">
                  <c:v>-103.4</c:v>
                </c:pt>
                <c:pt idx="210">
                  <c:v>-100.9</c:v>
                </c:pt>
                <c:pt idx="211">
                  <c:v>-97.14</c:v>
                </c:pt>
                <c:pt idx="212">
                  <c:v>-90.53</c:v>
                </c:pt>
                <c:pt idx="213">
                  <c:v>-81.75</c:v>
                </c:pt>
                <c:pt idx="214">
                  <c:v>-70.62</c:v>
                </c:pt>
                <c:pt idx="215">
                  <c:v>-64.08</c:v>
                </c:pt>
                <c:pt idx="216">
                  <c:v>-72.12</c:v>
                </c:pt>
                <c:pt idx="217">
                  <c:v>-91.73</c:v>
                </c:pt>
                <c:pt idx="218">
                  <c:v>-106.3</c:v>
                </c:pt>
                <c:pt idx="219">
                  <c:v>-107.9</c:v>
                </c:pt>
                <c:pt idx="220">
                  <c:v>-108.4</c:v>
                </c:pt>
                <c:pt idx="221">
                  <c:v>-115.9</c:v>
                </c:pt>
                <c:pt idx="222">
                  <c:v>-121.9</c:v>
                </c:pt>
                <c:pt idx="223">
                  <c:v>-128</c:v>
                </c:pt>
                <c:pt idx="224">
                  <c:v>-138</c:v>
                </c:pt>
                <c:pt idx="225">
                  <c:v>-146.80000000000001</c:v>
                </c:pt>
                <c:pt idx="226">
                  <c:v>-153.30000000000001</c:v>
                </c:pt>
                <c:pt idx="227">
                  <c:v>-162.4</c:v>
                </c:pt>
                <c:pt idx="228">
                  <c:v>-176.9</c:v>
                </c:pt>
                <c:pt idx="229">
                  <c:v>163.49</c:v>
                </c:pt>
                <c:pt idx="230">
                  <c:v>150.68</c:v>
                </c:pt>
                <c:pt idx="231">
                  <c:v>146.28</c:v>
                </c:pt>
                <c:pt idx="232">
                  <c:v>133.19999999999999</c:v>
                </c:pt>
                <c:pt idx="233">
                  <c:v>115.11</c:v>
                </c:pt>
                <c:pt idx="234">
                  <c:v>101.81</c:v>
                </c:pt>
                <c:pt idx="235">
                  <c:v>96.144000000000005</c:v>
                </c:pt>
                <c:pt idx="236">
                  <c:v>106.55</c:v>
                </c:pt>
                <c:pt idx="237">
                  <c:v>133.78</c:v>
                </c:pt>
                <c:pt idx="238">
                  <c:v>165.36</c:v>
                </c:pt>
                <c:pt idx="239">
                  <c:v>-160.4</c:v>
                </c:pt>
                <c:pt idx="240">
                  <c:v>-129.30000000000001</c:v>
                </c:pt>
                <c:pt idx="241">
                  <c:v>-117.9</c:v>
                </c:pt>
                <c:pt idx="242">
                  <c:v>-138.69999999999999</c:v>
                </c:pt>
                <c:pt idx="243">
                  <c:v>165.19</c:v>
                </c:pt>
                <c:pt idx="244">
                  <c:v>115.59</c:v>
                </c:pt>
                <c:pt idx="245">
                  <c:v>105.14</c:v>
                </c:pt>
                <c:pt idx="246">
                  <c:v>104.91</c:v>
                </c:pt>
                <c:pt idx="247">
                  <c:v>89.492000000000004</c:v>
                </c:pt>
                <c:pt idx="248">
                  <c:v>71.599000000000004</c:v>
                </c:pt>
                <c:pt idx="249">
                  <c:v>62.25</c:v>
                </c:pt>
                <c:pt idx="250">
                  <c:v>48.9</c:v>
                </c:pt>
                <c:pt idx="251">
                  <c:v>19.951000000000001</c:v>
                </c:pt>
                <c:pt idx="252">
                  <c:v>-13.13</c:v>
                </c:pt>
                <c:pt idx="253">
                  <c:v>-43.09</c:v>
                </c:pt>
                <c:pt idx="254">
                  <c:v>-81.510000000000005</c:v>
                </c:pt>
                <c:pt idx="255">
                  <c:v>-159</c:v>
                </c:pt>
                <c:pt idx="256">
                  <c:v>162.69</c:v>
                </c:pt>
              </c:numCache>
            </c:numRef>
          </c:yVal>
        </c:ser>
        <c:ser>
          <c:idx val="0"/>
          <c:order val="1"/>
          <c:tx>
            <c:strRef>
              <c:f>'FRS8-4'!$V$17</c:f>
              <c:strCache>
                <c:ptCount val="1"/>
                <c:pt idx="0">
                  <c:v>FRS8-4 (1)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'FRS8-4'!$B$18:$B$274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'FRS8-4'!$V$18:$V$274</c:f>
              <c:numCache>
                <c:formatCode>General</c:formatCode>
                <c:ptCount val="257"/>
                <c:pt idx="86">
                  <c:v>84.634717570148041</c:v>
                </c:pt>
                <c:pt idx="87">
                  <c:v>82.526650993642306</c:v>
                </c:pt>
                <c:pt idx="88">
                  <c:v>81.629010610832765</c:v>
                </c:pt>
                <c:pt idx="89">
                  <c:v>79.731370228023223</c:v>
                </c:pt>
                <c:pt idx="90">
                  <c:v>78.044156038909961</c:v>
                </c:pt>
                <c:pt idx="91">
                  <c:v>75.567368043492976</c:v>
                </c:pt>
                <c:pt idx="92">
                  <c:v>74.301006241772086</c:v>
                </c:pt>
                <c:pt idx="93">
                  <c:v>74.245070633747474</c:v>
                </c:pt>
                <c:pt idx="94">
                  <c:v>71.399561219419141</c:v>
                </c:pt>
                <c:pt idx="95">
                  <c:v>68.764477998786916</c:v>
                </c:pt>
                <c:pt idx="96">
                  <c:v>66.339820971850969</c:v>
                </c:pt>
                <c:pt idx="97">
                  <c:v>63.915163944915022</c:v>
                </c:pt>
                <c:pt idx="98">
                  <c:v>59.911359305371462</c:v>
                </c:pt>
                <c:pt idx="99">
                  <c:v>54.907554665828059</c:v>
                </c:pt>
                <c:pt idx="100">
                  <c:v>53.324602413676878</c:v>
                </c:pt>
                <c:pt idx="101">
                  <c:v>51.952076355222125</c:v>
                </c:pt>
                <c:pt idx="102">
                  <c:v>50.789976490463488</c:v>
                </c:pt>
                <c:pt idx="103">
                  <c:v>49.838302819401115</c:v>
                </c:pt>
                <c:pt idx="104">
                  <c:v>49.097055342034857</c:v>
                </c:pt>
                <c:pt idx="105">
                  <c:v>48.566234058365026</c:v>
                </c:pt>
                <c:pt idx="106">
                  <c:v>48.456265162087426</c:v>
                </c:pt>
                <c:pt idx="107">
                  <c:v>48.556722459506254</c:v>
                </c:pt>
                <c:pt idx="108">
                  <c:v>49.078032144317461</c:v>
                </c:pt>
                <c:pt idx="109">
                  <c:v>47.599341829128683</c:v>
                </c:pt>
                <c:pt idx="110">
                  <c:v>45.541503901332291</c:v>
                </c:pt>
                <c:pt idx="111">
                  <c:v>43.694092167232164</c:v>
                </c:pt>
                <c:pt idx="112">
                  <c:v>41.267532820524423</c:v>
                </c:pt>
                <c:pt idx="113">
                  <c:v>40.051399667512797</c:v>
                </c:pt>
                <c:pt idx="114">
                  <c:v>37.466545095590149</c:v>
                </c:pt>
                <c:pt idx="115">
                  <c:v>34.881690523667345</c:v>
                </c:pt>
                <c:pt idx="116">
                  <c:v>32.717688339136913</c:v>
                </c:pt>
                <c:pt idx="117">
                  <c:v>30.974538541998875</c:v>
                </c:pt>
                <c:pt idx="118">
                  <c:v>29.441814938557265</c:v>
                </c:pt>
                <c:pt idx="119">
                  <c:v>28.540369916204309</c:v>
                </c:pt>
                <c:pt idx="120">
                  <c:v>27.849351087547465</c:v>
                </c:pt>
                <c:pt idx="121">
                  <c:v>27.579184646283323</c:v>
                </c:pt>
                <c:pt idx="122">
                  <c:v>27.729870592411245</c:v>
                </c:pt>
                <c:pt idx="123">
                  <c:v>28.30140892593187</c:v>
                </c:pt>
                <c:pt idx="124">
                  <c:v>29.293799646844878</c:v>
                </c:pt>
                <c:pt idx="125">
                  <c:v>25.496616561454015</c:v>
                </c:pt>
                <c:pt idx="126">
                  <c:v>22.330712057151967</c:v>
                </c:pt>
                <c:pt idx="127">
                  <c:v>19.796086133938573</c:v>
                </c:pt>
                <c:pt idx="128">
                  <c:v>17.682312598117562</c:v>
                </c:pt>
                <c:pt idx="129">
                  <c:v>15.989391449688934</c:v>
                </c:pt>
                <c:pt idx="130">
                  <c:v>14.71732268865285</c:v>
                </c:pt>
                <c:pt idx="131">
                  <c:v>13.866106315009148</c:v>
                </c:pt>
                <c:pt idx="132">
                  <c:v>13.856594716150532</c:v>
                </c:pt>
                <c:pt idx="133">
                  <c:v>14.26793550468398</c:v>
                </c:pt>
                <c:pt idx="134">
                  <c:v>15.10012868061029</c:v>
                </c:pt>
                <c:pt idx="135">
                  <c:v>11.563600437624952</c:v>
                </c:pt>
                <c:pt idx="136">
                  <c:v>8.6583507757285894</c:v>
                </c:pt>
                <c:pt idx="137">
                  <c:v>11.384379694920703</c:v>
                </c:pt>
                <c:pt idx="138">
                  <c:v>9.7416871952014894</c:v>
                </c:pt>
                <c:pt idx="139">
                  <c:v>8.5198470828748185</c:v>
                </c:pt>
                <c:pt idx="140">
                  <c:v>13.139711745332896</c:v>
                </c:pt>
                <c:pt idx="141">
                  <c:v>13.601281182575917</c:v>
                </c:pt>
                <c:pt idx="142">
                  <c:v>9.483703007211659</c:v>
                </c:pt>
                <c:pt idx="143">
                  <c:v>5.9974034129358955</c:v>
                </c:pt>
                <c:pt idx="144">
                  <c:v>-1.4367652128589725</c:v>
                </c:pt>
                <c:pt idx="145">
                  <c:v>-3.2396552575652038</c:v>
                </c:pt>
                <c:pt idx="146">
                  <c:v>-4.4112667211824608</c:v>
                </c:pt>
                <c:pt idx="147">
                  <c:v>-4.5307472163186802</c:v>
                </c:pt>
                <c:pt idx="148">
                  <c:v>-4.018949130366245</c:v>
                </c:pt>
                <c:pt idx="149">
                  <c:v>-2.8758724633251553</c:v>
                </c:pt>
                <c:pt idx="150">
                  <c:v>-0.47023863410691646</c:v>
                </c:pt>
                <c:pt idx="151">
                  <c:v>-2.4333262237996856</c:v>
                </c:pt>
                <c:pt idx="152">
                  <c:v>-3.3442828450112572</c:v>
                </c:pt>
                <c:pt idx="153">
                  <c:v>-3.4135346914385423</c:v>
                </c:pt>
                <c:pt idx="154">
                  <c:v>-7.4306555693839726</c:v>
                </c:pt>
                <c:pt idx="155">
                  <c:v>-15.606071672545099</c:v>
                </c:pt>
                <c:pt idx="156">
                  <c:v>-17.729356807224725</c:v>
                </c:pt>
                <c:pt idx="157">
                  <c:v>-23.800510973423457</c:v>
                </c:pt>
                <c:pt idx="158">
                  <c:v>-23.609107977444417</c:v>
                </c:pt>
                <c:pt idx="159">
                  <c:v>-22.786426400377202</c:v>
                </c:pt>
                <c:pt idx="160">
                  <c:v>-25.280335273739958</c:v>
                </c:pt>
                <c:pt idx="161">
                  <c:v>-27.142965566014219</c:v>
                </c:pt>
                <c:pt idx="162">
                  <c:v>-27.322186308718628</c:v>
                </c:pt>
                <c:pt idx="163">
                  <c:v>-26.659702276637951</c:v>
                </c:pt>
                <c:pt idx="164">
                  <c:v>-24.524234888684013</c:v>
                </c:pt>
                <c:pt idx="165">
                  <c:v>-21.336636532248718</c:v>
                </c:pt>
                <c:pt idx="166">
                  <c:v>-21.465628626243713</c:v>
                </c:pt>
                <c:pt idx="167">
                  <c:v>-20.542489751757671</c:v>
                </c:pt>
                <c:pt idx="168">
                  <c:v>-23.14636752139787</c:v>
                </c:pt>
                <c:pt idx="169">
                  <c:v>-24.487688128860761</c:v>
                </c:pt>
                <c:pt idx="170">
                  <c:v>-23.935172993057847</c:v>
                </c:pt>
                <c:pt idx="171">
                  <c:v>-23.382657857255253</c:v>
                </c:pt>
                <c:pt idx="172">
                  <c:v>-19.463323622312316</c:v>
                </c:pt>
                <c:pt idx="173">
                  <c:v>-13.439727450407624</c:v>
                </c:pt>
                <c:pt idx="174">
                  <c:v>-12.416131278502434</c:v>
                </c:pt>
                <c:pt idx="175">
                  <c:v>-14.28827316963563</c:v>
                </c:pt>
                <c:pt idx="176">
                  <c:v>-19.056153123806254</c:v>
                </c:pt>
                <c:pt idx="177">
                  <c:v>-21.719771141014803</c:v>
                </c:pt>
                <c:pt idx="178">
                  <c:v>-24.383389158223032</c:v>
                </c:pt>
                <c:pt idx="179">
                  <c:v>-22.838483301507111</c:v>
                </c:pt>
                <c:pt idx="180">
                  <c:v>-26.293577444791012</c:v>
                </c:pt>
                <c:pt idx="181">
                  <c:v>-30.540147714150265</c:v>
                </c:pt>
                <c:pt idx="182">
                  <c:v>-34.786717983510158</c:v>
                </c:pt>
                <c:pt idx="183">
                  <c:v>-36.929026315907336</c:v>
                </c:pt>
                <c:pt idx="184">
                  <c:v>-34.862810774380364</c:v>
                </c:pt>
                <c:pt idx="185">
                  <c:v>-37.796595232852894</c:v>
                </c:pt>
                <c:pt idx="186">
                  <c:v>-36.521855817401274</c:v>
                </c:pt>
                <c:pt idx="187">
                  <c:v>-33.142854464986939</c:v>
                </c:pt>
                <c:pt idx="188">
                  <c:v>-34.763853112573386</c:v>
                </c:pt>
                <c:pt idx="189">
                  <c:v>-27.176327886235541</c:v>
                </c:pt>
                <c:pt idx="190">
                  <c:v>-32.484540722934128</c:v>
                </c:pt>
                <c:pt idx="191">
                  <c:v>-33.584229685709204</c:v>
                </c:pt>
                <c:pt idx="192">
                  <c:v>-34.68391864848428</c:v>
                </c:pt>
                <c:pt idx="193">
                  <c:v>-36.575083737334708</c:v>
                </c:pt>
                <c:pt idx="194">
                  <c:v>-41.361986889223203</c:v>
                </c:pt>
                <c:pt idx="195">
                  <c:v>-46.940366167187051</c:v>
                </c:pt>
                <c:pt idx="196">
                  <c:v>-50.414483508188184</c:v>
                </c:pt>
                <c:pt idx="197">
                  <c:v>-49.680076975265166</c:v>
                </c:pt>
                <c:pt idx="198">
                  <c:v>-48.945670442342148</c:v>
                </c:pt>
                <c:pt idx="199">
                  <c:v>-46.898478098532408</c:v>
                </c:pt>
                <c:pt idx="200">
                  <c:v>-52.747023817760237</c:v>
                </c:pt>
                <c:pt idx="201">
                  <c:v>-54.387045663063915</c:v>
                </c:pt>
                <c:pt idx="202">
                  <c:v>-58.922805571405021</c:v>
                </c:pt>
                <c:pt idx="203">
                  <c:v>-69.250041605822261</c:v>
                </c:pt>
                <c:pt idx="204">
                  <c:v>-75.368753766315351</c:v>
                </c:pt>
                <c:pt idx="205">
                  <c:v>-77.278942052883011</c:v>
                </c:pt>
                <c:pt idx="206">
                  <c:v>-77.084868402488596</c:v>
                </c:pt>
                <c:pt idx="207">
                  <c:v>-70.578008941207315</c:v>
                </c:pt>
                <c:pt idx="208">
                  <c:v>-66.966887542964741</c:v>
                </c:pt>
                <c:pt idx="209">
                  <c:v>-77.042980333833952</c:v>
                </c:pt>
                <c:pt idx="210">
                  <c:v>-75.014811187742083</c:v>
                </c:pt>
                <c:pt idx="211">
                  <c:v>-78.778118167726348</c:v>
                </c:pt>
                <c:pt idx="212">
                  <c:v>-86.228639336822113</c:v>
                </c:pt>
              </c:numCache>
            </c:numRef>
          </c:yVal>
        </c:ser>
        <c:ser>
          <c:idx val="1"/>
          <c:order val="2"/>
          <c:tx>
            <c:strRef>
              <c:f>'FRS8-4'!$W$17</c:f>
              <c:strCache>
                <c:ptCount val="1"/>
                <c:pt idx="0">
                  <c:v>FRS8-4 (2)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'FRS8-4'!$B$18:$B$274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'FRS8-4'!$W$18:$W$274</c:f>
              <c:numCache>
                <c:formatCode>General</c:formatCode>
                <c:ptCount val="257"/>
                <c:pt idx="86">
                  <c:v>84.634717570148041</c:v>
                </c:pt>
                <c:pt idx="87">
                  <c:v>83.526650993642306</c:v>
                </c:pt>
                <c:pt idx="88">
                  <c:v>82.629010610832765</c:v>
                </c:pt>
                <c:pt idx="89">
                  <c:v>81.731370228023309</c:v>
                </c:pt>
                <c:pt idx="90">
                  <c:v>81.044156038909961</c:v>
                </c:pt>
                <c:pt idx="91">
                  <c:v>80.567368043492962</c:v>
                </c:pt>
                <c:pt idx="92">
                  <c:v>80.301006241772072</c:v>
                </c:pt>
                <c:pt idx="93">
                  <c:v>79.24507063374746</c:v>
                </c:pt>
                <c:pt idx="94">
                  <c:v>77.399561219419127</c:v>
                </c:pt>
                <c:pt idx="95">
                  <c:v>74.764477998786901</c:v>
                </c:pt>
                <c:pt idx="96">
                  <c:v>70.339820971850955</c:v>
                </c:pt>
                <c:pt idx="97">
                  <c:v>64.915163944915008</c:v>
                </c:pt>
                <c:pt idx="98">
                  <c:v>60.911359305371455</c:v>
                </c:pt>
                <c:pt idx="99">
                  <c:v>58.907554665828044</c:v>
                </c:pt>
                <c:pt idx="100">
                  <c:v>58.32460241367702</c:v>
                </c:pt>
                <c:pt idx="101">
                  <c:v>56.952076355222104</c:v>
                </c:pt>
                <c:pt idx="102">
                  <c:v>55.789976490463467</c:v>
                </c:pt>
                <c:pt idx="103">
                  <c:v>54.838302819401093</c:v>
                </c:pt>
                <c:pt idx="104">
                  <c:v>54.097055342034999</c:v>
                </c:pt>
                <c:pt idx="105">
                  <c:v>52.566234058365012</c:v>
                </c:pt>
                <c:pt idx="106">
                  <c:v>51.456265162087576</c:v>
                </c:pt>
                <c:pt idx="107">
                  <c:v>50.556722459506247</c:v>
                </c:pt>
                <c:pt idx="108">
                  <c:v>49.078032144317461</c:v>
                </c:pt>
                <c:pt idx="109">
                  <c:v>46.59934182912869</c:v>
                </c:pt>
                <c:pt idx="110">
                  <c:v>44.541503901332291</c:v>
                </c:pt>
                <c:pt idx="111">
                  <c:v>41.694092167232171</c:v>
                </c:pt>
                <c:pt idx="112">
                  <c:v>40.26753282052443</c:v>
                </c:pt>
                <c:pt idx="113">
                  <c:v>40.051399667512797</c:v>
                </c:pt>
                <c:pt idx="114">
                  <c:v>40.466545095590135</c:v>
                </c:pt>
                <c:pt idx="115">
                  <c:v>39.881690523667324</c:v>
                </c:pt>
                <c:pt idx="116">
                  <c:v>38.717688339136899</c:v>
                </c:pt>
                <c:pt idx="117">
                  <c:v>35.974538541999017</c:v>
                </c:pt>
                <c:pt idx="118">
                  <c:v>33.441814938557251</c:v>
                </c:pt>
                <c:pt idx="119">
                  <c:v>31.540369916204298</c:v>
                </c:pt>
                <c:pt idx="120">
                  <c:v>29.849351087547458</c:v>
                </c:pt>
                <c:pt idx="121">
                  <c:v>27.579184646283323</c:v>
                </c:pt>
                <c:pt idx="122">
                  <c:v>25.729870592411253</c:v>
                </c:pt>
                <c:pt idx="123">
                  <c:v>25.301408925931881</c:v>
                </c:pt>
                <c:pt idx="124">
                  <c:v>24.293799646844896</c:v>
                </c:pt>
                <c:pt idx="125">
                  <c:v>23.496616561454022</c:v>
                </c:pt>
                <c:pt idx="126">
                  <c:v>22.330712057151967</c:v>
                </c:pt>
                <c:pt idx="127">
                  <c:v>19.796086133938573</c:v>
                </c:pt>
                <c:pt idx="128">
                  <c:v>17.682312598117562</c:v>
                </c:pt>
                <c:pt idx="129">
                  <c:v>15.989391449688934</c:v>
                </c:pt>
                <c:pt idx="130">
                  <c:v>14.71732268865285</c:v>
                </c:pt>
                <c:pt idx="131">
                  <c:v>13.866106315009148</c:v>
                </c:pt>
                <c:pt idx="132">
                  <c:v>13.856594716150532</c:v>
                </c:pt>
                <c:pt idx="133">
                  <c:v>14.26793550468398</c:v>
                </c:pt>
                <c:pt idx="134">
                  <c:v>15.10012868061029</c:v>
                </c:pt>
                <c:pt idx="135">
                  <c:v>14.563600437624942</c:v>
                </c:pt>
                <c:pt idx="136">
                  <c:v>13.658350775728572</c:v>
                </c:pt>
                <c:pt idx="137">
                  <c:v>13.384379694920696</c:v>
                </c:pt>
                <c:pt idx="138">
                  <c:v>14.741687195201472</c:v>
                </c:pt>
                <c:pt idx="139">
                  <c:v>13.519847082874801</c:v>
                </c:pt>
                <c:pt idx="140">
                  <c:v>13.139711745332896</c:v>
                </c:pt>
                <c:pt idx="141">
                  <c:v>11.601281182575924</c:v>
                </c:pt>
                <c:pt idx="142">
                  <c:v>9.483703007211659</c:v>
                </c:pt>
                <c:pt idx="143">
                  <c:v>5.9974034129358955</c:v>
                </c:pt>
                <c:pt idx="144">
                  <c:v>3.5632347871411696</c:v>
                </c:pt>
                <c:pt idx="145">
                  <c:v>1.7603447424349383</c:v>
                </c:pt>
                <c:pt idx="146">
                  <c:v>0.58873327881752147</c:v>
                </c:pt>
                <c:pt idx="147">
                  <c:v>-1.5307472163186908</c:v>
                </c:pt>
                <c:pt idx="148">
                  <c:v>-4.018949130366245</c:v>
                </c:pt>
                <c:pt idx="149">
                  <c:v>-2.8758724633251553</c:v>
                </c:pt>
                <c:pt idx="150">
                  <c:v>-0.47023863410691646</c:v>
                </c:pt>
                <c:pt idx="151">
                  <c:v>-2.4333262237996856</c:v>
                </c:pt>
                <c:pt idx="152">
                  <c:v>-8.3442828450113993</c:v>
                </c:pt>
                <c:pt idx="153">
                  <c:v>-8.4135346914383646</c:v>
                </c:pt>
                <c:pt idx="154">
                  <c:v>-7.4306555693839726</c:v>
                </c:pt>
                <c:pt idx="155">
                  <c:v>-10.606071672544957</c:v>
                </c:pt>
                <c:pt idx="156">
                  <c:v>-12.729356807224903</c:v>
                </c:pt>
                <c:pt idx="157">
                  <c:v>-13.800510973423492</c:v>
                </c:pt>
                <c:pt idx="158">
                  <c:v>-18.609107977444594</c:v>
                </c:pt>
                <c:pt idx="159">
                  <c:v>-22.786426400377202</c:v>
                </c:pt>
                <c:pt idx="160">
                  <c:v>-25.280335273739958</c:v>
                </c:pt>
                <c:pt idx="161">
                  <c:v>-27.142965566014219</c:v>
                </c:pt>
                <c:pt idx="162">
                  <c:v>-22.322186308718486</c:v>
                </c:pt>
                <c:pt idx="163">
                  <c:v>-16.659702276637987</c:v>
                </c:pt>
                <c:pt idx="164">
                  <c:v>-14.524234888684049</c:v>
                </c:pt>
                <c:pt idx="165">
                  <c:v>-16.336636532248576</c:v>
                </c:pt>
                <c:pt idx="166">
                  <c:v>-21.465628626243713</c:v>
                </c:pt>
                <c:pt idx="167">
                  <c:v>-25.542489751757813</c:v>
                </c:pt>
                <c:pt idx="168">
                  <c:v>-28.146367521398012</c:v>
                </c:pt>
                <c:pt idx="169">
                  <c:v>-29.487688128860903</c:v>
                </c:pt>
                <c:pt idx="170">
                  <c:v>-28.935172993057989</c:v>
                </c:pt>
                <c:pt idx="171">
                  <c:v>-28.382657857255076</c:v>
                </c:pt>
                <c:pt idx="172">
                  <c:v>-24.463323622312139</c:v>
                </c:pt>
                <c:pt idx="173">
                  <c:v>-23.439727450407588</c:v>
                </c:pt>
                <c:pt idx="174">
                  <c:v>-22.416131278502398</c:v>
                </c:pt>
                <c:pt idx="175">
                  <c:v>-24.288273169635595</c:v>
                </c:pt>
                <c:pt idx="176">
                  <c:v>-24.056153123806396</c:v>
                </c:pt>
                <c:pt idx="177">
                  <c:v>-21.719771141014803</c:v>
                </c:pt>
                <c:pt idx="178">
                  <c:v>-24.383389158223032</c:v>
                </c:pt>
                <c:pt idx="179">
                  <c:v>-22.838483301507111</c:v>
                </c:pt>
                <c:pt idx="180">
                  <c:v>-26.293577444791012</c:v>
                </c:pt>
                <c:pt idx="181">
                  <c:v>-30.540147714150265</c:v>
                </c:pt>
                <c:pt idx="182">
                  <c:v>-34.786717983510158</c:v>
                </c:pt>
                <c:pt idx="183">
                  <c:v>-36.929026315907336</c:v>
                </c:pt>
                <c:pt idx="184">
                  <c:v>-39.862810774380506</c:v>
                </c:pt>
                <c:pt idx="185">
                  <c:v>-42.796595232853036</c:v>
                </c:pt>
                <c:pt idx="186">
                  <c:v>-41.521855817401416</c:v>
                </c:pt>
                <c:pt idx="187">
                  <c:v>-43.142854464987224</c:v>
                </c:pt>
                <c:pt idx="188">
                  <c:v>-34.763853112573386</c:v>
                </c:pt>
                <c:pt idx="189">
                  <c:v>-27.176327886235541</c:v>
                </c:pt>
                <c:pt idx="190">
                  <c:v>-27.484540722933986</c:v>
                </c:pt>
                <c:pt idx="191">
                  <c:v>-28.584229685709062</c:v>
                </c:pt>
                <c:pt idx="192">
                  <c:v>-29.683918648484777</c:v>
                </c:pt>
                <c:pt idx="193">
                  <c:v>-31.575083737334566</c:v>
                </c:pt>
                <c:pt idx="194">
                  <c:v>-36.361986889223061</c:v>
                </c:pt>
                <c:pt idx="195">
                  <c:v>-41.940366167186909</c:v>
                </c:pt>
                <c:pt idx="196">
                  <c:v>-50.414483508188184</c:v>
                </c:pt>
                <c:pt idx="197">
                  <c:v>-49.680076975265166</c:v>
                </c:pt>
                <c:pt idx="198">
                  <c:v>-48.945670442342148</c:v>
                </c:pt>
                <c:pt idx="199">
                  <c:v>-46.898478098532408</c:v>
                </c:pt>
                <c:pt idx="200">
                  <c:v>-52.747023817760237</c:v>
                </c:pt>
                <c:pt idx="201">
                  <c:v>-54.387045663063915</c:v>
                </c:pt>
                <c:pt idx="202">
                  <c:v>-53.922805571405519</c:v>
                </c:pt>
                <c:pt idx="203">
                  <c:v>-59.250041605821977</c:v>
                </c:pt>
                <c:pt idx="204">
                  <c:v>-65.368753766315066</c:v>
                </c:pt>
                <c:pt idx="205">
                  <c:v>-62.278942052883224</c:v>
                </c:pt>
                <c:pt idx="206">
                  <c:v>-57.084868402488667</c:v>
                </c:pt>
                <c:pt idx="207">
                  <c:v>-50.578008941208026</c:v>
                </c:pt>
                <c:pt idx="208">
                  <c:v>-56.966887542964457</c:v>
                </c:pt>
                <c:pt idx="209">
                  <c:v>-67.042980333833668</c:v>
                </c:pt>
                <c:pt idx="210">
                  <c:v>-70.01481118774322</c:v>
                </c:pt>
                <c:pt idx="211">
                  <c:v>-78.778118167726348</c:v>
                </c:pt>
                <c:pt idx="212">
                  <c:v>-86.228639336822113</c:v>
                </c:pt>
              </c:numCache>
            </c:numRef>
          </c:yVal>
        </c:ser>
        <c:axId val="70471680"/>
        <c:axId val="70473600"/>
      </c:scatterChart>
      <c:valAx>
        <c:axId val="70471680"/>
        <c:scaling>
          <c:logBase val="10"/>
          <c:orientation val="minMax"/>
          <c:max val="1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0647064686534431"/>
              <c:y val="0.86533136482939632"/>
            </c:manualLayout>
          </c:layout>
        </c:title>
        <c:numFmt formatCode="General" sourceLinked="1"/>
        <c:tickLblPos val="nextTo"/>
        <c:crossAx val="70473600"/>
        <c:crossesAt val="-360"/>
        <c:crossBetween val="midCat"/>
      </c:valAx>
      <c:valAx>
        <c:axId val="70473600"/>
        <c:scaling>
          <c:orientation val="minMax"/>
          <c:max val="180"/>
          <c:min val="-18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[grd]</a:t>
                </a:r>
              </a:p>
            </c:rich>
          </c:tx>
          <c:layout/>
        </c:title>
        <c:numFmt formatCode="General" sourceLinked="1"/>
        <c:tickLblPos val="nextTo"/>
        <c:crossAx val="70471680"/>
        <c:crosses val="autoZero"/>
        <c:crossBetween val="midCat"/>
        <c:majorUnit val="30"/>
      </c:valAx>
    </c:plotArea>
    <c:legend>
      <c:legendPos val="b"/>
      <c:layout>
        <c:manualLayout>
          <c:xMode val="edge"/>
          <c:yMode val="edge"/>
          <c:x val="8.9468221535599204E-2"/>
          <c:y val="0.91628280839894949"/>
          <c:w val="0.82106355692880162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0650605487500876E-2"/>
          <c:y val="5.1400554097404488E-2"/>
          <c:w val="0.88980465353919813"/>
          <c:h val="0.79056904345290158"/>
        </c:manualLayout>
      </c:layout>
      <c:scatterChart>
        <c:scatterStyle val="lineMarker"/>
        <c:ser>
          <c:idx val="2"/>
          <c:order val="0"/>
          <c:tx>
            <c:strRef>
              <c:f>'G20SC-8'!$I$17</c:f>
              <c:strCache>
                <c:ptCount val="1"/>
                <c:pt idx="0">
                  <c:v>G20SC-8 soll</c:v>
                </c:pt>
              </c:strCache>
            </c:strRef>
          </c:tx>
          <c:spPr>
            <a:ln>
              <a:solidFill>
                <a:srgbClr val="92D050">
                  <a:alpha val="50000"/>
                </a:srgbClr>
              </a:solidFill>
            </a:ln>
          </c:spPr>
          <c:marker>
            <c:symbol val="none"/>
          </c:marker>
          <c:xVal>
            <c:numRef>
              <c:f>'G20SC-8'!$B$18:$B$274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'G20SC-8'!$I$18:$I$274</c:f>
              <c:numCache>
                <c:formatCode>General</c:formatCode>
                <c:ptCount val="257"/>
                <c:pt idx="0">
                  <c:v>44.701999999999998</c:v>
                </c:pt>
                <c:pt idx="1">
                  <c:v>44.566000000000003</c:v>
                </c:pt>
                <c:pt idx="2">
                  <c:v>44.195</c:v>
                </c:pt>
                <c:pt idx="3">
                  <c:v>43.595999999999997</c:v>
                </c:pt>
                <c:pt idx="4">
                  <c:v>43.097999999999999</c:v>
                </c:pt>
                <c:pt idx="5">
                  <c:v>43.023000000000003</c:v>
                </c:pt>
                <c:pt idx="6">
                  <c:v>43.341000000000001</c:v>
                </c:pt>
                <c:pt idx="7">
                  <c:v>43.731000000000002</c:v>
                </c:pt>
                <c:pt idx="8">
                  <c:v>43.881999999999998</c:v>
                </c:pt>
                <c:pt idx="9">
                  <c:v>43.69</c:v>
                </c:pt>
                <c:pt idx="10">
                  <c:v>43.237000000000002</c:v>
                </c:pt>
                <c:pt idx="11">
                  <c:v>42.701999999999998</c:v>
                </c:pt>
                <c:pt idx="12">
                  <c:v>42.398000000000003</c:v>
                </c:pt>
                <c:pt idx="13">
                  <c:v>42.579000000000001</c:v>
                </c:pt>
                <c:pt idx="14">
                  <c:v>43.058999999999997</c:v>
                </c:pt>
                <c:pt idx="15">
                  <c:v>43.411999999999999</c:v>
                </c:pt>
                <c:pt idx="16">
                  <c:v>43.43</c:v>
                </c:pt>
                <c:pt idx="17">
                  <c:v>43.204000000000001</c:v>
                </c:pt>
                <c:pt idx="18">
                  <c:v>42.984000000000002</c:v>
                </c:pt>
                <c:pt idx="19">
                  <c:v>42.887</c:v>
                </c:pt>
                <c:pt idx="20">
                  <c:v>42.767000000000003</c:v>
                </c:pt>
                <c:pt idx="21">
                  <c:v>42.503</c:v>
                </c:pt>
                <c:pt idx="22">
                  <c:v>42.161999999999999</c:v>
                </c:pt>
                <c:pt idx="23">
                  <c:v>41.945999999999998</c:v>
                </c:pt>
                <c:pt idx="24">
                  <c:v>41.999000000000002</c:v>
                </c:pt>
                <c:pt idx="25">
                  <c:v>42.192999999999998</c:v>
                </c:pt>
                <c:pt idx="26">
                  <c:v>42.249000000000002</c:v>
                </c:pt>
                <c:pt idx="27">
                  <c:v>41.938000000000002</c:v>
                </c:pt>
                <c:pt idx="28">
                  <c:v>41.378999999999998</c:v>
                </c:pt>
                <c:pt idx="29">
                  <c:v>40.966999999999999</c:v>
                </c:pt>
                <c:pt idx="30">
                  <c:v>40.845999999999997</c:v>
                </c:pt>
                <c:pt idx="31">
                  <c:v>40.857999999999997</c:v>
                </c:pt>
                <c:pt idx="32">
                  <c:v>40.787999999999997</c:v>
                </c:pt>
                <c:pt idx="33">
                  <c:v>40.593000000000004</c:v>
                </c:pt>
                <c:pt idx="34">
                  <c:v>40.427</c:v>
                </c:pt>
                <c:pt idx="35">
                  <c:v>40.371000000000002</c:v>
                </c:pt>
                <c:pt idx="36">
                  <c:v>40.33</c:v>
                </c:pt>
                <c:pt idx="37">
                  <c:v>40.191000000000003</c:v>
                </c:pt>
                <c:pt idx="38">
                  <c:v>40.054000000000002</c:v>
                </c:pt>
                <c:pt idx="39">
                  <c:v>40.076999999999998</c:v>
                </c:pt>
                <c:pt idx="40">
                  <c:v>40.167999999999999</c:v>
                </c:pt>
                <c:pt idx="41">
                  <c:v>40.140999999999998</c:v>
                </c:pt>
                <c:pt idx="42">
                  <c:v>39.899000000000001</c:v>
                </c:pt>
                <c:pt idx="43">
                  <c:v>39.588000000000001</c:v>
                </c:pt>
                <c:pt idx="44">
                  <c:v>39.567</c:v>
                </c:pt>
                <c:pt idx="45">
                  <c:v>39.851999999999997</c:v>
                </c:pt>
                <c:pt idx="46">
                  <c:v>40.084000000000003</c:v>
                </c:pt>
                <c:pt idx="47">
                  <c:v>40.011000000000003</c:v>
                </c:pt>
                <c:pt idx="48">
                  <c:v>39.674999999999997</c:v>
                </c:pt>
                <c:pt idx="49">
                  <c:v>39.374000000000002</c:v>
                </c:pt>
                <c:pt idx="50">
                  <c:v>39.268999999999998</c:v>
                </c:pt>
                <c:pt idx="51">
                  <c:v>39.198</c:v>
                </c:pt>
                <c:pt idx="52">
                  <c:v>39.113999999999997</c:v>
                </c:pt>
                <c:pt idx="53">
                  <c:v>39.143000000000001</c:v>
                </c:pt>
                <c:pt idx="54">
                  <c:v>39.304000000000002</c:v>
                </c:pt>
                <c:pt idx="55">
                  <c:v>39.494</c:v>
                </c:pt>
                <c:pt idx="56">
                  <c:v>39.606999999999999</c:v>
                </c:pt>
                <c:pt idx="57">
                  <c:v>39.613</c:v>
                </c:pt>
                <c:pt idx="58">
                  <c:v>39.54</c:v>
                </c:pt>
                <c:pt idx="59">
                  <c:v>39.378</c:v>
                </c:pt>
                <c:pt idx="60">
                  <c:v>39.167999999999999</c:v>
                </c:pt>
                <c:pt idx="61">
                  <c:v>39.051000000000002</c:v>
                </c:pt>
                <c:pt idx="62">
                  <c:v>39.055</c:v>
                </c:pt>
                <c:pt idx="63">
                  <c:v>39.182000000000002</c:v>
                </c:pt>
                <c:pt idx="64">
                  <c:v>39.466999999999999</c:v>
                </c:pt>
                <c:pt idx="65">
                  <c:v>39.838000000000001</c:v>
                </c:pt>
                <c:pt idx="66">
                  <c:v>40.154000000000003</c:v>
                </c:pt>
                <c:pt idx="67">
                  <c:v>40.308</c:v>
                </c:pt>
                <c:pt idx="68">
                  <c:v>40.406999999999996</c:v>
                </c:pt>
                <c:pt idx="69">
                  <c:v>40.713000000000001</c:v>
                </c:pt>
                <c:pt idx="70">
                  <c:v>41.31</c:v>
                </c:pt>
                <c:pt idx="71">
                  <c:v>41.960999999999999</c:v>
                </c:pt>
                <c:pt idx="72">
                  <c:v>42.38</c:v>
                </c:pt>
                <c:pt idx="73">
                  <c:v>42.615000000000002</c:v>
                </c:pt>
                <c:pt idx="74">
                  <c:v>42.930999999999997</c:v>
                </c:pt>
                <c:pt idx="75">
                  <c:v>43.447000000000003</c:v>
                </c:pt>
                <c:pt idx="76">
                  <c:v>44.027999999999999</c:v>
                </c:pt>
                <c:pt idx="77">
                  <c:v>44.491</c:v>
                </c:pt>
                <c:pt idx="78">
                  <c:v>44.869</c:v>
                </c:pt>
                <c:pt idx="79">
                  <c:v>45.366999999999997</c:v>
                </c:pt>
                <c:pt idx="80">
                  <c:v>46.024000000000001</c:v>
                </c:pt>
                <c:pt idx="81">
                  <c:v>46.652000000000001</c:v>
                </c:pt>
                <c:pt idx="82">
                  <c:v>47.122</c:v>
                </c:pt>
                <c:pt idx="83">
                  <c:v>47.506</c:v>
                </c:pt>
                <c:pt idx="84">
                  <c:v>47.917999999999999</c:v>
                </c:pt>
                <c:pt idx="85">
                  <c:v>48.372</c:v>
                </c:pt>
                <c:pt idx="86">
                  <c:v>48.843000000000004</c:v>
                </c:pt>
                <c:pt idx="87">
                  <c:v>49.316000000000003</c:v>
                </c:pt>
                <c:pt idx="88">
                  <c:v>49.801000000000002</c:v>
                </c:pt>
                <c:pt idx="89">
                  <c:v>50.363</c:v>
                </c:pt>
                <c:pt idx="90">
                  <c:v>51.008000000000003</c:v>
                </c:pt>
                <c:pt idx="91">
                  <c:v>51.668999999999997</c:v>
                </c:pt>
                <c:pt idx="92">
                  <c:v>52.31</c:v>
                </c:pt>
                <c:pt idx="93">
                  <c:v>52.841999999999999</c:v>
                </c:pt>
                <c:pt idx="94">
                  <c:v>53.206000000000003</c:v>
                </c:pt>
                <c:pt idx="95">
                  <c:v>53.527999999999999</c:v>
                </c:pt>
                <c:pt idx="96">
                  <c:v>53.887999999999998</c:v>
                </c:pt>
                <c:pt idx="97">
                  <c:v>54.296999999999997</c:v>
                </c:pt>
                <c:pt idx="98">
                  <c:v>54.753</c:v>
                </c:pt>
                <c:pt idx="99">
                  <c:v>55.183</c:v>
                </c:pt>
                <c:pt idx="100">
                  <c:v>55.579000000000001</c:v>
                </c:pt>
                <c:pt idx="101">
                  <c:v>55.957000000000001</c:v>
                </c:pt>
                <c:pt idx="102">
                  <c:v>56.304000000000002</c:v>
                </c:pt>
                <c:pt idx="103">
                  <c:v>56.661000000000001</c:v>
                </c:pt>
                <c:pt idx="104">
                  <c:v>57.091999999999999</c:v>
                </c:pt>
                <c:pt idx="105">
                  <c:v>57.667000000000002</c:v>
                </c:pt>
                <c:pt idx="106">
                  <c:v>58.405000000000001</c:v>
                </c:pt>
                <c:pt idx="107">
                  <c:v>59.216000000000001</c:v>
                </c:pt>
                <c:pt idx="108">
                  <c:v>59.984000000000002</c:v>
                </c:pt>
                <c:pt idx="109">
                  <c:v>60.637</c:v>
                </c:pt>
                <c:pt idx="110">
                  <c:v>61.164000000000001</c:v>
                </c:pt>
                <c:pt idx="111">
                  <c:v>61.64</c:v>
                </c:pt>
                <c:pt idx="112">
                  <c:v>62.155999999999999</c:v>
                </c:pt>
                <c:pt idx="113">
                  <c:v>62.747999999999998</c:v>
                </c:pt>
                <c:pt idx="114">
                  <c:v>63.389000000000003</c:v>
                </c:pt>
                <c:pt idx="115">
                  <c:v>63.985999999999997</c:v>
                </c:pt>
                <c:pt idx="116">
                  <c:v>64.474000000000004</c:v>
                </c:pt>
                <c:pt idx="117">
                  <c:v>64.847999999999999</c:v>
                </c:pt>
                <c:pt idx="118">
                  <c:v>65.156999999999996</c:v>
                </c:pt>
                <c:pt idx="119">
                  <c:v>65.489999999999995</c:v>
                </c:pt>
                <c:pt idx="120">
                  <c:v>65.885999999999996</c:v>
                </c:pt>
                <c:pt idx="121">
                  <c:v>66.344999999999999</c:v>
                </c:pt>
                <c:pt idx="122">
                  <c:v>66.834000000000003</c:v>
                </c:pt>
                <c:pt idx="123">
                  <c:v>67.311999999999998</c:v>
                </c:pt>
                <c:pt idx="124">
                  <c:v>67.805999999999997</c:v>
                </c:pt>
                <c:pt idx="125">
                  <c:v>68.376999999999995</c:v>
                </c:pt>
                <c:pt idx="126">
                  <c:v>69.055000000000007</c:v>
                </c:pt>
                <c:pt idx="127">
                  <c:v>69.787000000000006</c:v>
                </c:pt>
                <c:pt idx="128">
                  <c:v>70.456999999999994</c:v>
                </c:pt>
                <c:pt idx="129">
                  <c:v>71.009</c:v>
                </c:pt>
                <c:pt idx="130">
                  <c:v>71.471999999999994</c:v>
                </c:pt>
                <c:pt idx="131">
                  <c:v>71.906000000000006</c:v>
                </c:pt>
                <c:pt idx="132">
                  <c:v>72.355999999999995</c:v>
                </c:pt>
                <c:pt idx="133">
                  <c:v>72.83</c:v>
                </c:pt>
                <c:pt idx="134">
                  <c:v>73.33</c:v>
                </c:pt>
                <c:pt idx="135">
                  <c:v>73.897999999999996</c:v>
                </c:pt>
                <c:pt idx="136">
                  <c:v>74.552000000000007</c:v>
                </c:pt>
                <c:pt idx="137">
                  <c:v>75.256</c:v>
                </c:pt>
                <c:pt idx="138">
                  <c:v>75.981999999999999</c:v>
                </c:pt>
                <c:pt idx="139">
                  <c:v>76.709999999999994</c:v>
                </c:pt>
                <c:pt idx="140">
                  <c:v>77.379000000000005</c:v>
                </c:pt>
                <c:pt idx="141">
                  <c:v>77.885999999999996</c:v>
                </c:pt>
                <c:pt idx="142">
                  <c:v>78.165999999999997</c:v>
                </c:pt>
                <c:pt idx="143">
                  <c:v>78.272000000000006</c:v>
                </c:pt>
                <c:pt idx="144">
                  <c:v>78.331999999999994</c:v>
                </c:pt>
                <c:pt idx="145">
                  <c:v>78.509</c:v>
                </c:pt>
                <c:pt idx="146">
                  <c:v>78.915999999999997</c:v>
                </c:pt>
                <c:pt idx="147">
                  <c:v>79.563000000000002</c:v>
                </c:pt>
                <c:pt idx="148">
                  <c:v>80.349000000000004</c:v>
                </c:pt>
                <c:pt idx="149">
                  <c:v>81.063000000000002</c:v>
                </c:pt>
                <c:pt idx="150">
                  <c:v>81.552000000000007</c:v>
                </c:pt>
                <c:pt idx="151">
                  <c:v>81.867000000000004</c:v>
                </c:pt>
                <c:pt idx="152">
                  <c:v>82.186999999999998</c:v>
                </c:pt>
                <c:pt idx="153">
                  <c:v>82.623000000000005</c:v>
                </c:pt>
                <c:pt idx="154">
                  <c:v>83.153999999999996</c:v>
                </c:pt>
                <c:pt idx="155">
                  <c:v>83.706000000000003</c:v>
                </c:pt>
                <c:pt idx="156">
                  <c:v>84.153999999999996</c:v>
                </c:pt>
                <c:pt idx="157">
                  <c:v>84.400999999999996</c:v>
                </c:pt>
                <c:pt idx="158">
                  <c:v>84.554000000000002</c:v>
                </c:pt>
                <c:pt idx="159">
                  <c:v>84.811000000000007</c:v>
                </c:pt>
                <c:pt idx="160">
                  <c:v>85.212999999999994</c:v>
                </c:pt>
                <c:pt idx="161">
                  <c:v>85.54</c:v>
                </c:pt>
                <c:pt idx="162">
                  <c:v>85.504999999999995</c:v>
                </c:pt>
                <c:pt idx="163">
                  <c:v>85.227999999999994</c:v>
                </c:pt>
                <c:pt idx="164">
                  <c:v>85.174999999999997</c:v>
                </c:pt>
                <c:pt idx="165">
                  <c:v>85.616</c:v>
                </c:pt>
                <c:pt idx="166">
                  <c:v>86.343999999999994</c:v>
                </c:pt>
                <c:pt idx="167">
                  <c:v>86.78</c:v>
                </c:pt>
                <c:pt idx="168">
                  <c:v>86.605000000000004</c:v>
                </c:pt>
                <c:pt idx="169">
                  <c:v>86.27</c:v>
                </c:pt>
                <c:pt idx="170">
                  <c:v>86.325999999999993</c:v>
                </c:pt>
                <c:pt idx="171">
                  <c:v>86.799000000000007</c:v>
                </c:pt>
                <c:pt idx="172">
                  <c:v>87.123999999999995</c:v>
                </c:pt>
                <c:pt idx="173">
                  <c:v>86.85</c:v>
                </c:pt>
                <c:pt idx="174">
                  <c:v>86.468000000000004</c:v>
                </c:pt>
                <c:pt idx="175">
                  <c:v>86.394000000000005</c:v>
                </c:pt>
                <c:pt idx="176">
                  <c:v>86.438999999999993</c:v>
                </c:pt>
                <c:pt idx="177">
                  <c:v>86.614000000000004</c:v>
                </c:pt>
                <c:pt idx="178">
                  <c:v>87.025000000000006</c:v>
                </c:pt>
                <c:pt idx="179">
                  <c:v>87.248999999999995</c:v>
                </c:pt>
                <c:pt idx="180">
                  <c:v>87.081999999999994</c:v>
                </c:pt>
                <c:pt idx="181">
                  <c:v>87.165000000000006</c:v>
                </c:pt>
                <c:pt idx="182">
                  <c:v>87.372</c:v>
                </c:pt>
                <c:pt idx="183">
                  <c:v>86.828000000000003</c:v>
                </c:pt>
                <c:pt idx="184">
                  <c:v>86.367000000000004</c:v>
                </c:pt>
                <c:pt idx="185">
                  <c:v>86.941999999999993</c:v>
                </c:pt>
                <c:pt idx="186">
                  <c:v>87.614000000000004</c:v>
                </c:pt>
                <c:pt idx="187">
                  <c:v>87.721000000000004</c:v>
                </c:pt>
                <c:pt idx="188">
                  <c:v>87.442999999999998</c:v>
                </c:pt>
                <c:pt idx="189">
                  <c:v>86.679000000000002</c:v>
                </c:pt>
                <c:pt idx="190">
                  <c:v>86.683000000000007</c:v>
                </c:pt>
                <c:pt idx="191">
                  <c:v>86.918000000000006</c:v>
                </c:pt>
                <c:pt idx="192">
                  <c:v>87.231999999999999</c:v>
                </c:pt>
                <c:pt idx="193">
                  <c:v>87.685000000000002</c:v>
                </c:pt>
                <c:pt idx="194">
                  <c:v>86.977999999999994</c:v>
                </c:pt>
                <c:pt idx="195">
                  <c:v>87.21</c:v>
                </c:pt>
                <c:pt idx="196">
                  <c:v>87.858000000000004</c:v>
                </c:pt>
                <c:pt idx="197">
                  <c:v>88.326999999999998</c:v>
                </c:pt>
                <c:pt idx="198">
                  <c:v>88.162999999999997</c:v>
                </c:pt>
                <c:pt idx="199">
                  <c:v>87.817999999999998</c:v>
                </c:pt>
                <c:pt idx="200">
                  <c:v>87.21</c:v>
                </c:pt>
                <c:pt idx="201">
                  <c:v>87.39</c:v>
                </c:pt>
                <c:pt idx="202">
                  <c:v>87.5</c:v>
                </c:pt>
                <c:pt idx="203">
                  <c:v>87.632000000000005</c:v>
                </c:pt>
                <c:pt idx="204">
                  <c:v>87.61</c:v>
                </c:pt>
                <c:pt idx="205">
                  <c:v>87.68</c:v>
                </c:pt>
                <c:pt idx="206">
                  <c:v>88.204999999999998</c:v>
                </c:pt>
                <c:pt idx="207">
                  <c:v>88.331999999999994</c:v>
                </c:pt>
                <c:pt idx="208">
                  <c:v>88.070999999999998</c:v>
                </c:pt>
                <c:pt idx="209">
                  <c:v>87.876000000000005</c:v>
                </c:pt>
                <c:pt idx="210">
                  <c:v>88.316999999999993</c:v>
                </c:pt>
                <c:pt idx="211">
                  <c:v>87.852000000000004</c:v>
                </c:pt>
                <c:pt idx="212">
                  <c:v>87.299000000000007</c:v>
                </c:pt>
                <c:pt idx="213">
                  <c:v>87.641000000000005</c:v>
                </c:pt>
                <c:pt idx="214">
                  <c:v>87.775000000000006</c:v>
                </c:pt>
                <c:pt idx="215">
                  <c:v>87.488</c:v>
                </c:pt>
                <c:pt idx="216">
                  <c:v>88.106999999999999</c:v>
                </c:pt>
                <c:pt idx="217">
                  <c:v>88.316999999999993</c:v>
                </c:pt>
                <c:pt idx="218">
                  <c:v>88.227000000000004</c:v>
                </c:pt>
                <c:pt idx="219">
                  <c:v>88.477999999999994</c:v>
                </c:pt>
                <c:pt idx="220">
                  <c:v>88.253</c:v>
                </c:pt>
                <c:pt idx="221">
                  <c:v>87.875</c:v>
                </c:pt>
                <c:pt idx="222">
                  <c:v>87.977000000000004</c:v>
                </c:pt>
                <c:pt idx="223">
                  <c:v>87.759</c:v>
                </c:pt>
                <c:pt idx="224">
                  <c:v>87.876000000000005</c:v>
                </c:pt>
                <c:pt idx="225">
                  <c:v>88.087999999999994</c:v>
                </c:pt>
                <c:pt idx="226">
                  <c:v>87.691999999999993</c:v>
                </c:pt>
                <c:pt idx="227">
                  <c:v>88.033000000000001</c:v>
                </c:pt>
                <c:pt idx="228">
                  <c:v>87.790999999999997</c:v>
                </c:pt>
                <c:pt idx="229">
                  <c:v>88.272999999999996</c:v>
                </c:pt>
                <c:pt idx="230">
                  <c:v>87.885999999999996</c:v>
                </c:pt>
                <c:pt idx="231">
                  <c:v>87.820999999999998</c:v>
                </c:pt>
                <c:pt idx="232">
                  <c:v>87.375</c:v>
                </c:pt>
                <c:pt idx="233">
                  <c:v>87.427000000000007</c:v>
                </c:pt>
                <c:pt idx="234">
                  <c:v>87.382000000000005</c:v>
                </c:pt>
                <c:pt idx="235">
                  <c:v>87.706999999999994</c:v>
                </c:pt>
                <c:pt idx="236">
                  <c:v>87.66</c:v>
                </c:pt>
                <c:pt idx="237">
                  <c:v>87.950999999999993</c:v>
                </c:pt>
                <c:pt idx="238">
                  <c:v>88.248000000000005</c:v>
                </c:pt>
                <c:pt idx="239">
                  <c:v>88.31</c:v>
                </c:pt>
                <c:pt idx="240">
                  <c:v>88.337999999999994</c:v>
                </c:pt>
                <c:pt idx="241">
                  <c:v>88.241</c:v>
                </c:pt>
                <c:pt idx="242">
                  <c:v>88.165000000000006</c:v>
                </c:pt>
                <c:pt idx="243">
                  <c:v>88.177999999999997</c:v>
                </c:pt>
                <c:pt idx="244">
                  <c:v>88.212999999999994</c:v>
                </c:pt>
                <c:pt idx="245">
                  <c:v>88.262</c:v>
                </c:pt>
                <c:pt idx="246">
                  <c:v>88.29</c:v>
                </c:pt>
                <c:pt idx="247">
                  <c:v>88.313999999999993</c:v>
                </c:pt>
                <c:pt idx="248">
                  <c:v>88.356999999999999</c:v>
                </c:pt>
                <c:pt idx="249">
                  <c:v>88.436999999999998</c:v>
                </c:pt>
                <c:pt idx="250">
                  <c:v>88.575999999999993</c:v>
                </c:pt>
                <c:pt idx="251">
                  <c:v>88.846999999999994</c:v>
                </c:pt>
                <c:pt idx="252">
                  <c:v>89.221000000000004</c:v>
                </c:pt>
                <c:pt idx="253">
                  <c:v>89.611000000000004</c:v>
                </c:pt>
                <c:pt idx="254">
                  <c:v>89.899000000000001</c:v>
                </c:pt>
                <c:pt idx="255">
                  <c:v>90.093999999999994</c:v>
                </c:pt>
                <c:pt idx="256">
                  <c:v>90.265000000000001</c:v>
                </c:pt>
              </c:numCache>
            </c:numRef>
          </c:yVal>
        </c:ser>
        <c:ser>
          <c:idx val="0"/>
          <c:order val="1"/>
          <c:tx>
            <c:strRef>
              <c:f>'G20SC-8'!$P$17</c:f>
              <c:strCache>
                <c:ptCount val="1"/>
                <c:pt idx="0">
                  <c:v>G20SC-8 (1)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'G20SC-8'!$B$18:$B$274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'G20SC-8'!$P$18:$P$274</c:f>
              <c:numCache>
                <c:formatCode>General</c:formatCode>
                <c:ptCount val="25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72.377852560792718</c:v>
                </c:pt>
                <c:pt idx="133">
                  <c:v>72.793858642166597</c:v>
                </c:pt>
                <c:pt idx="134">
                  <c:v>73.333532560872911</c:v>
                </c:pt>
                <c:pt idx="135">
                  <c:v>74.095077025032566</c:v>
                </c:pt>
                <c:pt idx="136">
                  <c:v>74.584748699533222</c:v>
                </c:pt>
                <c:pt idx="137">
                  <c:v>75.279990824717459</c:v>
                </c:pt>
                <c:pt idx="138">
                  <c:v>75.946484492145487</c:v>
                </c:pt>
                <c:pt idx="139">
                  <c:v>76.590948959694359</c:v>
                </c:pt>
                <c:pt idx="140">
                  <c:v>77.092570876684803</c:v>
                </c:pt>
                <c:pt idx="141">
                  <c:v>77.538098770907851</c:v>
                </c:pt>
                <c:pt idx="142">
                  <c:v>78.206573880646843</c:v>
                </c:pt>
                <c:pt idx="143">
                  <c:v>78.676195797637291</c:v>
                </c:pt>
                <c:pt idx="144">
                  <c:v>79.265295384402805</c:v>
                </c:pt>
                <c:pt idx="145">
                  <c:v>79.816965817044576</c:v>
                </c:pt>
                <c:pt idx="146">
                  <c:v>80.272510114035981</c:v>
                </c:pt>
                <c:pt idx="147">
                  <c:v>80.765458815607346</c:v>
                </c:pt>
                <c:pt idx="148">
                  <c:v>81.174970529803289</c:v>
                </c:pt>
                <c:pt idx="149">
                  <c:v>81.862634798043118</c:v>
                </c:pt>
                <c:pt idx="150">
                  <c:v>82.285716887490878</c:v>
                </c:pt>
                <c:pt idx="151">
                  <c:v>82.681533338968123</c:v>
                </c:pt>
                <c:pt idx="152">
                  <c:v>82.913170789964411</c:v>
                </c:pt>
                <c:pt idx="153">
                  <c:v>83.1387909981582</c:v>
                </c:pt>
                <c:pt idx="154">
                  <c:v>83.164790998158196</c:v>
                </c:pt>
                <c:pt idx="155">
                  <c:v>83.428448684187472</c:v>
                </c:pt>
                <c:pt idx="156">
                  <c:v>83.458698684187482</c:v>
                </c:pt>
                <c:pt idx="157">
                  <c:v>83.673175992022934</c:v>
                </c:pt>
                <c:pt idx="158">
                  <c:v>83.882484665586247</c:v>
                </c:pt>
                <c:pt idx="159">
                  <c:v>84.086867969219952</c:v>
                </c:pt>
                <c:pt idx="160">
                  <c:v>84.481749133135111</c:v>
                </c:pt>
                <c:pt idx="161">
                  <c:v>84.932437912038083</c:v>
                </c:pt>
                <c:pt idx="162">
                  <c:v>85.10609529768243</c:v>
                </c:pt>
                <c:pt idx="163">
                  <c:v>85.46890237958695</c:v>
                </c:pt>
                <c:pt idx="164">
                  <c:v>85.637565730324198</c:v>
                </c:pt>
                <c:pt idx="165">
                  <c:v>85.803016249644003</c:v>
                </c:pt>
                <c:pt idx="166">
                  <c:v>85.965374054087604</c:v>
                </c:pt>
                <c:pt idx="167">
                  <c:v>86.124752647513091</c:v>
                </c:pt>
                <c:pt idx="168">
                  <c:v>86.23635030684315</c:v>
                </c:pt>
                <c:pt idx="169">
                  <c:v>86.789251138028376</c:v>
                </c:pt>
                <c:pt idx="170">
                  <c:v>87.029332647593307</c:v>
                </c:pt>
                <c:pt idx="171">
                  <c:v>87.261098337305981</c:v>
                </c:pt>
                <c:pt idx="172">
                  <c:v>87.265713721921358</c:v>
                </c:pt>
                <c:pt idx="173">
                  <c:v>87.173540615930634</c:v>
                </c:pt>
                <c:pt idx="174">
                  <c:v>87.204309846699871</c:v>
                </c:pt>
                <c:pt idx="175">
                  <c:v>87.204309846699871</c:v>
                </c:pt>
                <c:pt idx="176">
                  <c:v>87.341098337305979</c:v>
                </c:pt>
                <c:pt idx="177">
                  <c:v>87.910343778419616</c:v>
                </c:pt>
                <c:pt idx="178">
                  <c:v>88.204792991246691</c:v>
                </c:pt>
                <c:pt idx="179">
                  <c:v>88.4353987862536</c:v>
                </c:pt>
                <c:pt idx="180">
                  <c:v>88.39289878625361</c:v>
                </c:pt>
                <c:pt idx="181">
                  <c:v>88.429148786253606</c:v>
                </c:pt>
                <c:pt idx="182">
                  <c:v>88.239480672373332</c:v>
                </c:pt>
                <c:pt idx="183">
                  <c:v>88.519459657913359</c:v>
                </c:pt>
                <c:pt idx="184">
                  <c:v>88.7641487862536</c:v>
                </c:pt>
                <c:pt idx="185">
                  <c:v>89.002133252247745</c:v>
                </c:pt>
                <c:pt idx="186">
                  <c:v>89.196928597980886</c:v>
                </c:pt>
                <c:pt idx="187">
                  <c:v>89.152718071665092</c:v>
                </c:pt>
                <c:pt idx="188">
                  <c:v>89.085770703244037</c:v>
                </c:pt>
                <c:pt idx="189">
                  <c:v>89.223390911437832</c:v>
                </c:pt>
                <c:pt idx="190">
                  <c:v>89.134629006675922</c:v>
                </c:pt>
                <c:pt idx="191">
                  <c:v>89.045105197152111</c:v>
                </c:pt>
                <c:pt idx="192">
                  <c:v>88.496915860943403</c:v>
                </c:pt>
                <c:pt idx="193">
                  <c:v>88.13110530799274</c:v>
                </c:pt>
                <c:pt idx="194">
                  <c:v>87.879187571140164</c:v>
                </c:pt>
                <c:pt idx="195">
                  <c:v>87.719459657913362</c:v>
                </c:pt>
                <c:pt idx="196">
                  <c:v>87.719459657913362</c:v>
                </c:pt>
                <c:pt idx="197">
                  <c:v>87.698659657913367</c:v>
                </c:pt>
                <c:pt idx="198">
                  <c:v>88.137333252247757</c:v>
                </c:pt>
                <c:pt idx="199">
                  <c:v>87.854148786253603</c:v>
                </c:pt>
                <c:pt idx="200">
                  <c:v>87.69052297486688</c:v>
                </c:pt>
                <c:pt idx="201">
                  <c:v>87.768434500539314</c:v>
                </c:pt>
                <c:pt idx="202">
                  <c:v>86.892515499500078</c:v>
                </c:pt>
                <c:pt idx="203">
                  <c:v>86.760101706396625</c:v>
                </c:pt>
                <c:pt idx="204">
                  <c:v>86.653710901798931</c:v>
                </c:pt>
                <c:pt idx="205">
                  <c:v>87.074126324580035</c:v>
                </c:pt>
                <c:pt idx="206">
                  <c:v>87.942421214468126</c:v>
                </c:pt>
                <c:pt idx="207">
                  <c:v>87.898784850831774</c:v>
                </c:pt>
                <c:pt idx="208">
                  <c:v>87.392990395104889</c:v>
                </c:pt>
                <c:pt idx="209">
                  <c:v>87.306133252247747</c:v>
                </c:pt>
                <c:pt idx="210">
                  <c:v>86.735459657913367</c:v>
                </c:pt>
                <c:pt idx="211">
                  <c:v>87.624255776302689</c:v>
                </c:pt>
                <c:pt idx="212">
                  <c:v>88.014316445843093</c:v>
                </c:pt>
                <c:pt idx="213">
                  <c:v>88.016775905302552</c:v>
                </c:pt>
                <c:pt idx="214">
                  <c:v>88.060275905302547</c:v>
                </c:pt>
                <c:pt idx="215">
                  <c:v>87.465199274672614</c:v>
                </c:pt>
                <c:pt idx="216">
                  <c:v>88.039298597467095</c:v>
                </c:pt>
                <c:pt idx="217">
                  <c:v>87.953676625723546</c:v>
                </c:pt>
                <c:pt idx="218">
                  <c:v>87.535087761825864</c:v>
                </c:pt>
                <c:pt idx="219">
                  <c:v>87.090512422617238</c:v>
                </c:pt>
                <c:pt idx="220">
                  <c:v>87.093956060037343</c:v>
                </c:pt>
                <c:pt idx="221">
                  <c:v>86.844148786253612</c:v>
                </c:pt>
                <c:pt idx="222">
                  <c:v>86.285277111752947</c:v>
                </c:pt>
                <c:pt idx="223">
                  <c:v>86.329277111752958</c:v>
                </c:pt>
                <c:pt idx="224">
                  <c:v>86.838963601068414</c:v>
                </c:pt>
                <c:pt idx="225">
                  <c:v>87.136733666207007</c:v>
                </c:pt>
                <c:pt idx="226">
                  <c:v>86.960437369910707</c:v>
                </c:pt>
                <c:pt idx="227">
                  <c:v>86.860086492717727</c:v>
                </c:pt>
                <c:pt idx="228">
                  <c:v>88.24024378325683</c:v>
                </c:pt>
                <c:pt idx="229">
                  <c:v>87.807467882499566</c:v>
                </c:pt>
                <c:pt idx="230">
                  <c:v>86.733770703244033</c:v>
                </c:pt>
                <c:pt idx="231">
                  <c:v>86.502133252247745</c:v>
                </c:pt>
                <c:pt idx="232">
                  <c:v>86.733770703244033</c:v>
                </c:pt>
                <c:pt idx="233">
                  <c:v>86.732594232655799</c:v>
                </c:pt>
                <c:pt idx="234">
                  <c:v>86.689064820891105</c:v>
                </c:pt>
                <c:pt idx="235">
                  <c:v>87.304364140596675</c:v>
                </c:pt>
                <c:pt idx="236">
                  <c:v>87.503084578865867</c:v>
                </c:pt>
                <c:pt idx="237">
                  <c:v>87.907152300631594</c:v>
                </c:pt>
                <c:pt idx="238">
                  <c:v>88.559077364573454</c:v>
                </c:pt>
                <c:pt idx="239">
                  <c:v>88.520225499683249</c:v>
                </c:pt>
                <c:pt idx="240">
                  <c:v>87.39028483075208</c:v>
                </c:pt>
                <c:pt idx="241">
                  <c:v>88.059790988299127</c:v>
                </c:pt>
                <c:pt idx="242">
                  <c:v>87.971116289503939</c:v>
                </c:pt>
                <c:pt idx="243">
                  <c:v>88.410421833096464</c:v>
                </c:pt>
                <c:pt idx="244">
                  <c:v>89.28777979240364</c:v>
                </c:pt>
                <c:pt idx="245">
                  <c:v>89.200276735421497</c:v>
                </c:pt>
                <c:pt idx="246">
                  <c:v>89.413011344176269</c:v>
                </c:pt>
                <c:pt idx="247">
                  <c:v>89.355139003750736</c:v>
                </c:pt>
                <c:pt idx="248">
                  <c:v>88.745352560792725</c:v>
                </c:pt>
                <c:pt idx="249">
                  <c:v>89.648091697538277</c:v>
                </c:pt>
                <c:pt idx="250">
                  <c:v>89.691110565462807</c:v>
                </c:pt>
                <c:pt idx="251">
                  <c:v>90.28712062074608</c:v>
                </c:pt>
                <c:pt idx="252">
                  <c:v>89.885932560872931</c:v>
                </c:pt>
                <c:pt idx="253">
                  <c:v>90.330361601322863</c:v>
                </c:pt>
                <c:pt idx="254">
                  <c:v>89.919055521821292</c:v>
                </c:pt>
                <c:pt idx="255">
                  <c:v>90.513824258706734</c:v>
                </c:pt>
                <c:pt idx="256">
                  <c:v>89.966769550096373</c:v>
                </c:pt>
              </c:numCache>
            </c:numRef>
          </c:yVal>
        </c:ser>
        <c:ser>
          <c:idx val="1"/>
          <c:order val="2"/>
          <c:tx>
            <c:strRef>
              <c:f>'G20SC-8'!$Q$17</c:f>
              <c:strCache>
                <c:ptCount val="1"/>
                <c:pt idx="0">
                  <c:v>G20SC-8 (2)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'G20SC-8'!$B$18:$B$274</c:f>
              <c:numCache>
                <c:formatCode>General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>
                  <c:v>1004.4</c:v>
                </c:pt>
                <c:pt idx="146">
                  <c:v>1031.8</c:v>
                </c:pt>
                <c:pt idx="147">
                  <c:v>1060.2</c:v>
                </c:pt>
                <c:pt idx="148">
                  <c:v>1089.2</c:v>
                </c:pt>
                <c:pt idx="149">
                  <c:v>1118.8</c:v>
                </c:pt>
                <c:pt idx="150">
                  <c:v>1149.5999999999999</c:v>
                </c:pt>
                <c:pt idx="151">
                  <c:v>1181</c:v>
                </c:pt>
                <c:pt idx="152">
                  <c:v>1213.4000000000001</c:v>
                </c:pt>
                <c:pt idx="153">
                  <c:v>1246.5999999999999</c:v>
                </c:pt>
                <c:pt idx="154">
                  <c:v>1280.8</c:v>
                </c:pt>
                <c:pt idx="155">
                  <c:v>1315.8</c:v>
                </c:pt>
                <c:pt idx="156">
                  <c:v>1351.8</c:v>
                </c:pt>
                <c:pt idx="157">
                  <c:v>1388.8</c:v>
                </c:pt>
                <c:pt idx="158">
                  <c:v>1427</c:v>
                </c:pt>
                <c:pt idx="159">
                  <c:v>1465.8</c:v>
                </c:pt>
                <c:pt idx="160">
                  <c:v>1506.2</c:v>
                </c:pt>
                <c:pt idx="161">
                  <c:v>1547.2</c:v>
                </c:pt>
                <c:pt idx="162">
                  <c:v>1589.8</c:v>
                </c:pt>
                <c:pt idx="163">
                  <c:v>1633.2</c:v>
                </c:pt>
                <c:pt idx="164">
                  <c:v>1678</c:v>
                </c:pt>
                <c:pt idx="165">
                  <c:v>1723.8</c:v>
                </c:pt>
                <c:pt idx="166">
                  <c:v>1771.2</c:v>
                </c:pt>
                <c:pt idx="167">
                  <c:v>1819.6</c:v>
                </c:pt>
                <c:pt idx="168">
                  <c:v>1869.4</c:v>
                </c:pt>
                <c:pt idx="169">
                  <c:v>1920.4</c:v>
                </c:pt>
                <c:pt idx="170">
                  <c:v>1973.2</c:v>
                </c:pt>
                <c:pt idx="171">
                  <c:v>2026</c:v>
                </c:pt>
                <c:pt idx="172">
                  <c:v>2082</c:v>
                </c:pt>
                <c:pt idx="173">
                  <c:v>2140</c:v>
                </c:pt>
                <c:pt idx="174">
                  <c:v>2198</c:v>
                </c:pt>
                <c:pt idx="175">
                  <c:v>2258</c:v>
                </c:pt>
                <c:pt idx="176">
                  <c:v>2320</c:v>
                </c:pt>
                <c:pt idx="177">
                  <c:v>2384</c:v>
                </c:pt>
                <c:pt idx="178">
                  <c:v>2448</c:v>
                </c:pt>
                <c:pt idx="179">
                  <c:v>2516</c:v>
                </c:pt>
                <c:pt idx="180">
                  <c:v>2584</c:v>
                </c:pt>
                <c:pt idx="181">
                  <c:v>2656</c:v>
                </c:pt>
                <c:pt idx="182">
                  <c:v>2728</c:v>
                </c:pt>
                <c:pt idx="183">
                  <c:v>2802</c:v>
                </c:pt>
                <c:pt idx="184">
                  <c:v>2880</c:v>
                </c:pt>
                <c:pt idx="185">
                  <c:v>2958</c:v>
                </c:pt>
                <c:pt idx="186">
                  <c:v>3040</c:v>
                </c:pt>
                <c:pt idx="187">
                  <c:v>3124</c:v>
                </c:pt>
                <c:pt idx="188">
                  <c:v>3208</c:v>
                </c:pt>
                <c:pt idx="189">
                  <c:v>3296</c:v>
                </c:pt>
                <c:pt idx="190">
                  <c:v>3386</c:v>
                </c:pt>
                <c:pt idx="191">
                  <c:v>3480</c:v>
                </c:pt>
                <c:pt idx="192">
                  <c:v>3574</c:v>
                </c:pt>
                <c:pt idx="193">
                  <c:v>3672</c:v>
                </c:pt>
                <c:pt idx="194">
                  <c:v>3772</c:v>
                </c:pt>
                <c:pt idx="195">
                  <c:v>3876</c:v>
                </c:pt>
                <c:pt idx="196">
                  <c:v>3982</c:v>
                </c:pt>
                <c:pt idx="197">
                  <c:v>4092</c:v>
                </c:pt>
                <c:pt idx="198">
                  <c:v>4202</c:v>
                </c:pt>
                <c:pt idx="199">
                  <c:v>4318</c:v>
                </c:pt>
                <c:pt idx="200">
                  <c:v>4436</c:v>
                </c:pt>
                <c:pt idx="201">
                  <c:v>4558</c:v>
                </c:pt>
                <c:pt idx="202">
                  <c:v>4682</c:v>
                </c:pt>
                <c:pt idx="203">
                  <c:v>4810</c:v>
                </c:pt>
                <c:pt idx="204">
                  <c:v>4942</c:v>
                </c:pt>
                <c:pt idx="205">
                  <c:v>5078</c:v>
                </c:pt>
                <c:pt idx="206">
                  <c:v>5216</c:v>
                </c:pt>
                <c:pt idx="207">
                  <c:v>5360</c:v>
                </c:pt>
                <c:pt idx="208">
                  <c:v>5506</c:v>
                </c:pt>
                <c:pt idx="209">
                  <c:v>5658</c:v>
                </c:pt>
                <c:pt idx="210">
                  <c:v>5812</c:v>
                </c:pt>
                <c:pt idx="211">
                  <c:v>5970</c:v>
                </c:pt>
                <c:pt idx="212">
                  <c:v>6134</c:v>
                </c:pt>
                <c:pt idx="213">
                  <c:v>6302</c:v>
                </c:pt>
                <c:pt idx="214">
                  <c:v>6476</c:v>
                </c:pt>
                <c:pt idx="215">
                  <c:v>6654</c:v>
                </c:pt>
                <c:pt idx="216">
                  <c:v>6834</c:v>
                </c:pt>
                <c:pt idx="217">
                  <c:v>7022</c:v>
                </c:pt>
                <c:pt idx="218">
                  <c:v>7214</c:v>
                </c:pt>
                <c:pt idx="219">
                  <c:v>7412</c:v>
                </c:pt>
                <c:pt idx="220">
                  <c:v>7614</c:v>
                </c:pt>
                <c:pt idx="221">
                  <c:v>7822</c:v>
                </c:pt>
                <c:pt idx="222">
                  <c:v>8038</c:v>
                </c:pt>
                <c:pt idx="223">
                  <c:v>8258</c:v>
                </c:pt>
                <c:pt idx="224">
                  <c:v>8484</c:v>
                </c:pt>
                <c:pt idx="225">
                  <c:v>8716</c:v>
                </c:pt>
                <c:pt idx="226">
                  <c:v>8954</c:v>
                </c:pt>
                <c:pt idx="227">
                  <c:v>9200</c:v>
                </c:pt>
                <c:pt idx="228">
                  <c:v>9452</c:v>
                </c:pt>
                <c:pt idx="229">
                  <c:v>9710</c:v>
                </c:pt>
                <c:pt idx="230">
                  <c:v>9976</c:v>
                </c:pt>
                <c:pt idx="231">
                  <c:v>10250</c:v>
                </c:pt>
                <c:pt idx="232">
                  <c:v>10530</c:v>
                </c:pt>
                <c:pt idx="233">
                  <c:v>10818</c:v>
                </c:pt>
                <c:pt idx="234">
                  <c:v>11114</c:v>
                </c:pt>
                <c:pt idx="235">
                  <c:v>11418</c:v>
                </c:pt>
                <c:pt idx="236">
                  <c:v>11730</c:v>
                </c:pt>
                <c:pt idx="237">
                  <c:v>12052</c:v>
                </c:pt>
                <c:pt idx="238">
                  <c:v>12382</c:v>
                </c:pt>
                <c:pt idx="239">
                  <c:v>12722</c:v>
                </c:pt>
                <c:pt idx="240">
                  <c:v>13070</c:v>
                </c:pt>
                <c:pt idx="241">
                  <c:v>13428</c:v>
                </c:pt>
                <c:pt idx="242">
                  <c:v>13796</c:v>
                </c:pt>
                <c:pt idx="243">
                  <c:v>14174</c:v>
                </c:pt>
                <c:pt idx="244">
                  <c:v>14560</c:v>
                </c:pt>
                <c:pt idx="245">
                  <c:v>14960</c:v>
                </c:pt>
                <c:pt idx="246">
                  <c:v>15368</c:v>
                </c:pt>
                <c:pt idx="247">
                  <c:v>15790</c:v>
                </c:pt>
                <c:pt idx="248">
                  <c:v>16222</c:v>
                </c:pt>
                <c:pt idx="249">
                  <c:v>16666</c:v>
                </c:pt>
                <c:pt idx="250">
                  <c:v>17122</c:v>
                </c:pt>
                <c:pt idx="251">
                  <c:v>17592</c:v>
                </c:pt>
                <c:pt idx="252">
                  <c:v>18074</c:v>
                </c:pt>
                <c:pt idx="253">
                  <c:v>18568</c:v>
                </c:pt>
                <c:pt idx="254">
                  <c:v>19076</c:v>
                </c:pt>
                <c:pt idx="255">
                  <c:v>19598</c:v>
                </c:pt>
                <c:pt idx="256">
                  <c:v>20000</c:v>
                </c:pt>
              </c:numCache>
            </c:numRef>
          </c:xVal>
          <c:yVal>
            <c:numRef>
              <c:f>'G20SC-8'!$Q$18:$Q$274</c:f>
              <c:numCache>
                <c:formatCode>General</c:formatCode>
                <c:ptCount val="25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71.611798597467086</c:v>
                </c:pt>
                <c:pt idx="133">
                  <c:v>71.990284578865854</c:v>
                </c:pt>
                <c:pt idx="134">
                  <c:v>72.54994904641471</c:v>
                </c:pt>
                <c:pt idx="135">
                  <c:v>73.069723518419593</c:v>
                </c:pt>
                <c:pt idx="136">
                  <c:v>73.58950229286657</c:v>
                </c:pt>
                <c:pt idx="137">
                  <c:v>74.085973967367224</c:v>
                </c:pt>
                <c:pt idx="138">
                  <c:v>74.729458642166577</c:v>
                </c:pt>
                <c:pt idx="139">
                  <c:v>75.353932560872934</c:v>
                </c:pt>
                <c:pt idx="140">
                  <c:v>75.661698250585587</c:v>
                </c:pt>
                <c:pt idx="141">
                  <c:v>76.059594824924375</c:v>
                </c:pt>
                <c:pt idx="142">
                  <c:v>76.563265745289343</c:v>
                </c:pt>
                <c:pt idx="143">
                  <c:v>77.154370616523678</c:v>
                </c:pt>
                <c:pt idx="144">
                  <c:v>77.814375818582178</c:v>
                </c:pt>
                <c:pt idx="145">
                  <c:v>78.622948959694341</c:v>
                </c:pt>
                <c:pt idx="146">
                  <c:v>79.092570876684803</c:v>
                </c:pt>
                <c:pt idx="147">
                  <c:v>79.538098770907851</c:v>
                </c:pt>
                <c:pt idx="148">
                  <c:v>79.961884752306602</c:v>
                </c:pt>
                <c:pt idx="149">
                  <c:v>80.340809616929491</c:v>
                </c:pt>
                <c:pt idx="150">
                  <c:v>80.862596059887494</c:v>
                </c:pt>
                <c:pt idx="151">
                  <c:v>81.276299031068973</c:v>
                </c:pt>
                <c:pt idx="152">
                  <c:v>81.616965817044573</c:v>
                </c:pt>
                <c:pt idx="153">
                  <c:v>81.81513159024955</c:v>
                </c:pt>
                <c:pt idx="154">
                  <c:v>82.034876938312181</c:v>
                </c:pt>
                <c:pt idx="155">
                  <c:v>82.330409484472597</c:v>
                </c:pt>
                <c:pt idx="156">
                  <c:v>82.360659484472606</c:v>
                </c:pt>
                <c:pt idx="157">
                  <c:v>82.360659484472606</c:v>
                </c:pt>
                <c:pt idx="158">
                  <c:v>82.665458815607352</c:v>
                </c:pt>
                <c:pt idx="159">
                  <c:v>83.131927387259822</c:v>
                </c:pt>
                <c:pt idx="160">
                  <c:v>83.520498424026343</c:v>
                </c:pt>
                <c:pt idx="161">
                  <c:v>84.009877198473305</c:v>
                </c:pt>
                <c:pt idx="162">
                  <c:v>84.463748872973966</c:v>
                </c:pt>
                <c:pt idx="163">
                  <c:v>84.821255756181444</c:v>
                </c:pt>
                <c:pt idx="164">
                  <c:v>84.913170789964411</c:v>
                </c:pt>
                <c:pt idx="165">
                  <c:v>85.1387909981582</c:v>
                </c:pt>
                <c:pt idx="166">
                  <c:v>85.358698684187459</c:v>
                </c:pt>
                <c:pt idx="167">
                  <c:v>85.573175992022911</c:v>
                </c:pt>
                <c:pt idx="168">
                  <c:v>85.737575574677138</c:v>
                </c:pt>
                <c:pt idx="169">
                  <c:v>86.055708340437477</c:v>
                </c:pt>
                <c:pt idx="170">
                  <c:v>86.322615914770282</c:v>
                </c:pt>
                <c:pt idx="171">
                  <c:v>86.316795710916921</c:v>
                </c:pt>
                <c:pt idx="172">
                  <c:v>86.35942380232099</c:v>
                </c:pt>
                <c:pt idx="173">
                  <c:v>86.441886260490463</c:v>
                </c:pt>
                <c:pt idx="174">
                  <c:v>86.472655491259701</c:v>
                </c:pt>
                <c:pt idx="175">
                  <c:v>86.472655491259701</c:v>
                </c:pt>
                <c:pt idx="176">
                  <c:v>86.842323605139967</c:v>
                </c:pt>
                <c:pt idx="177">
                  <c:v>87.239565611015252</c:v>
                </c:pt>
                <c:pt idx="178">
                  <c:v>87.622899063657528</c:v>
                </c:pt>
                <c:pt idx="179">
                  <c:v>87.774266249643986</c:v>
                </c:pt>
                <c:pt idx="180">
                  <c:v>87.894124054087598</c:v>
                </c:pt>
                <c:pt idx="181">
                  <c:v>88.246259397752226</c:v>
                </c:pt>
                <c:pt idx="182">
                  <c:v>88.426259397752219</c:v>
                </c:pt>
                <c:pt idx="183">
                  <c:v>88.58125939775222</c:v>
                </c:pt>
                <c:pt idx="184">
                  <c:v>88.58125939775222</c:v>
                </c:pt>
                <c:pt idx="185">
                  <c:v>88.886058728886965</c:v>
                </c:pt>
                <c:pt idx="186">
                  <c:v>88.997696985207952</c:v>
                </c:pt>
                <c:pt idx="187">
                  <c:v>88.805006097308024</c:v>
                </c:pt>
                <c:pt idx="188">
                  <c:v>89.456309846699853</c:v>
                </c:pt>
                <c:pt idx="189">
                  <c:v>89.902994911644754</c:v>
                </c:pt>
                <c:pt idx="190">
                  <c:v>90.06971876761142</c:v>
                </c:pt>
                <c:pt idx="191">
                  <c:v>89.85339139746722</c:v>
                </c:pt>
                <c:pt idx="192">
                  <c:v>89.370548599180978</c:v>
                </c:pt>
                <c:pt idx="193">
                  <c:v>89.242722512224461</c:v>
                </c:pt>
                <c:pt idx="194">
                  <c:v>89.244899307596029</c:v>
                </c:pt>
                <c:pt idx="195">
                  <c:v>88.234539090471102</c:v>
                </c:pt>
                <c:pt idx="196">
                  <c:v>87.781259397752223</c:v>
                </c:pt>
                <c:pt idx="197">
                  <c:v>88.065258728886974</c:v>
                </c:pt>
                <c:pt idx="198">
                  <c:v>89.143577568465602</c:v>
                </c:pt>
                <c:pt idx="199">
                  <c:v>89.098377568465594</c:v>
                </c:pt>
                <c:pt idx="200">
                  <c:v>89.186852054501898</c:v>
                </c:pt>
                <c:pt idx="201">
                  <c:v>89.271962826038646</c:v>
                </c:pt>
                <c:pt idx="202">
                  <c:v>88.349470578627788</c:v>
                </c:pt>
                <c:pt idx="203">
                  <c:v>87.332983535683255</c:v>
                </c:pt>
                <c:pt idx="204">
                  <c:v>87.22659273108556</c:v>
                </c:pt>
                <c:pt idx="205">
                  <c:v>87.73519053196776</c:v>
                </c:pt>
                <c:pt idx="206">
                  <c:v>88.622025214675048</c:v>
                </c:pt>
                <c:pt idx="207">
                  <c:v>88.958853597307296</c:v>
                </c:pt>
                <c:pt idx="208">
                  <c:v>89.274813202894464</c:v>
                </c:pt>
                <c:pt idx="209">
                  <c:v>88.823459657913347</c:v>
                </c:pt>
                <c:pt idx="210">
                  <c:v>87.957098337305965</c:v>
                </c:pt>
                <c:pt idx="211">
                  <c:v>88.432541976617799</c:v>
                </c:pt>
                <c:pt idx="212">
                  <c:v>88.884689326794131</c:v>
                </c:pt>
                <c:pt idx="213">
                  <c:v>89.125133252247736</c:v>
                </c:pt>
                <c:pt idx="214">
                  <c:v>89.400270703244033</c:v>
                </c:pt>
                <c:pt idx="215">
                  <c:v>88.499105683181511</c:v>
                </c:pt>
                <c:pt idx="216">
                  <c:v>89.593770703244033</c:v>
                </c:pt>
                <c:pt idx="217">
                  <c:v>88.502663282751314</c:v>
                </c:pt>
                <c:pt idx="218">
                  <c:v>87.881696283956941</c:v>
                </c:pt>
                <c:pt idx="219">
                  <c:v>87.212422365250603</c:v>
                </c:pt>
                <c:pt idx="220">
                  <c:v>87.951098337305964</c:v>
                </c:pt>
                <c:pt idx="221">
                  <c:v>87.821098337305969</c:v>
                </c:pt>
                <c:pt idx="222">
                  <c:v>86.903658728886967</c:v>
                </c:pt>
                <c:pt idx="223">
                  <c:v>86.796595971078034</c:v>
                </c:pt>
                <c:pt idx="224">
                  <c:v>86.96087354370178</c:v>
                </c:pt>
                <c:pt idx="225">
                  <c:v>87.911340531428564</c:v>
                </c:pt>
                <c:pt idx="226">
                  <c:v>88.246126324580018</c:v>
                </c:pt>
                <c:pt idx="227">
                  <c:v>88.268981621483405</c:v>
                </c:pt>
                <c:pt idx="228">
                  <c:v>88.421850796879426</c:v>
                </c:pt>
                <c:pt idx="229">
                  <c:v>88.264148786253585</c:v>
                </c:pt>
                <c:pt idx="230">
                  <c:v>88.019459657913345</c:v>
                </c:pt>
                <c:pt idx="231">
                  <c:v>87.767677111752931</c:v>
                </c:pt>
                <c:pt idx="232">
                  <c:v>86.9653326475933</c:v>
                </c:pt>
                <c:pt idx="233">
                  <c:v>87.766500641164697</c:v>
                </c:pt>
                <c:pt idx="234">
                  <c:v>88.219442903900656</c:v>
                </c:pt>
                <c:pt idx="235">
                  <c:v>87.930047893207472</c:v>
                </c:pt>
                <c:pt idx="236">
                  <c:v>88.164148786253591</c:v>
                </c:pt>
                <c:pt idx="237">
                  <c:v>89.503084578865852</c:v>
                </c:pt>
                <c:pt idx="238">
                  <c:v>89.603621728653422</c:v>
                </c:pt>
                <c:pt idx="239">
                  <c:v>88.537596039642949</c:v>
                </c:pt>
                <c:pt idx="240">
                  <c:v>88.986217108986338</c:v>
                </c:pt>
                <c:pt idx="241">
                  <c:v>89.104335352379096</c:v>
                </c:pt>
                <c:pt idx="242">
                  <c:v>88.601968676386875</c:v>
                </c:pt>
                <c:pt idx="243">
                  <c:v>90.238418397858098</c:v>
                </c:pt>
                <c:pt idx="244">
                  <c:v>89.974204279524088</c:v>
                </c:pt>
                <c:pt idx="245">
                  <c:v>90.062179708692042</c:v>
                </c:pt>
                <c:pt idx="246">
                  <c:v>90.316037984029364</c:v>
                </c:pt>
                <c:pt idx="247">
                  <c:v>88.8071523006316</c:v>
                </c:pt>
                <c:pt idx="248">
                  <c:v>89.002349046414722</c:v>
                </c:pt>
                <c:pt idx="249">
                  <c:v>88.810548527046691</c:v>
                </c:pt>
                <c:pt idx="250">
                  <c:v>88.853567394971222</c:v>
                </c:pt>
                <c:pt idx="251">
                  <c:v>89.093103763395845</c:v>
                </c:pt>
                <c:pt idx="252">
                  <c:v>89.293255404539323</c:v>
                </c:pt>
                <c:pt idx="253">
                  <c:v>89.831586869156851</c:v>
                </c:pt>
                <c:pt idx="254">
                  <c:v>89.42028078965528</c:v>
                </c:pt>
                <c:pt idx="255">
                  <c:v>90.107947627455999</c:v>
                </c:pt>
                <c:pt idx="256">
                  <c:v>90.067259285479224</c:v>
                </c:pt>
              </c:numCache>
            </c:numRef>
          </c:yVal>
        </c:ser>
        <c:axId val="83312000"/>
        <c:axId val="83314176"/>
      </c:scatterChart>
      <c:valAx>
        <c:axId val="83312000"/>
        <c:scaling>
          <c:logBase val="10"/>
          <c:orientation val="minMax"/>
          <c:max val="30000"/>
          <c:min val="100"/>
        </c:scaling>
        <c:axPos val="b"/>
        <c:minorGridlines/>
        <c:title>
          <c:tx>
            <c:rich>
              <a:bodyPr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[Hz]</a:t>
                </a:r>
              </a:p>
            </c:rich>
          </c:tx>
          <c:layout>
            <c:manualLayout>
              <c:xMode val="edge"/>
              <c:yMode val="edge"/>
              <c:x val="0.89196528508552009"/>
              <c:y val="0.86535688247302933"/>
            </c:manualLayout>
          </c:layout>
        </c:title>
        <c:numFmt formatCode="General" sourceLinked="1"/>
        <c:tickLblPos val="nextTo"/>
        <c:crossAx val="83314176"/>
        <c:crossesAt val="-30"/>
        <c:crossBetween val="midCat"/>
      </c:valAx>
      <c:valAx>
        <c:axId val="83314176"/>
        <c:scaling>
          <c:orientation val="minMax"/>
          <c:max val="100"/>
          <c:min val="6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b="0">
                    <a:latin typeface="Arial" pitchFamily="34" charset="0"/>
                    <a:cs typeface="Arial" pitchFamily="34" charset="0"/>
                  </a:defRPr>
                </a:pPr>
                <a:r>
                  <a:rPr lang="de-DE" b="0">
                    <a:latin typeface="Arial" pitchFamily="34" charset="0"/>
                    <a:cs typeface="Arial" pitchFamily="34" charset="0"/>
                  </a:rPr>
                  <a:t>[dB]</a:t>
                </a:r>
              </a:p>
            </c:rich>
          </c:tx>
          <c:layout>
            <c:manualLayout>
              <c:xMode val="edge"/>
              <c:yMode val="edge"/>
              <c:x val="0"/>
              <c:y val="6.4734450561686724E-2"/>
            </c:manualLayout>
          </c:layout>
        </c:title>
        <c:numFmt formatCode="General" sourceLinked="1"/>
        <c:tickLblPos val="nextTo"/>
        <c:crossAx val="83312000"/>
        <c:crosses val="autoZero"/>
        <c:crossBetween val="midCat"/>
        <c:majorUnit val="5"/>
      </c:valAx>
    </c:plotArea>
    <c:legend>
      <c:legendPos val="b"/>
      <c:layout>
        <c:manualLayout>
          <c:xMode val="edge"/>
          <c:yMode val="edge"/>
          <c:x val="0.11378472305190621"/>
          <c:y val="0.91628280839894949"/>
          <c:w val="0.77243055389618975"/>
          <c:h val="8.3717191601050026E-2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755650</xdr:colOff>
      <xdr:row>23</xdr:row>
      <xdr:rowOff>130994</xdr:rowOff>
    </xdr:from>
    <xdr:to>
      <xdr:col>7</xdr:col>
      <xdr:colOff>626110</xdr:colOff>
      <xdr:row>46</xdr:row>
      <xdr:rowOff>39554</xdr:rowOff>
    </xdr:to>
    <xdr:grpSp>
      <xdr:nvGrpSpPr>
        <xdr:cNvPr id="12" name="Gruppieren 11"/>
        <xdr:cNvGrpSpPr/>
      </xdr:nvGrpSpPr>
      <xdr:grpSpPr>
        <a:xfrm>
          <a:off x="755650" y="4786338"/>
          <a:ext cx="5204460" cy="4563904"/>
          <a:chOff x="1319214" y="747714"/>
          <a:chExt cx="5204460" cy="4290060"/>
        </a:xfrm>
      </xdr:grpSpPr>
      <xdr:pic>
        <xdr:nvPicPr>
          <xdr:cNvPr id="13" name="Picture 2" descr="C:\Users\wh\Documents\Documents\Projekte\Elektronik\Aktivbox_3-Wege\AB_3W_Messung1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1319214" y="747714"/>
            <a:ext cx="5204460" cy="4290060"/>
          </a:xfrm>
          <a:prstGeom prst="rect">
            <a:avLst/>
          </a:prstGeom>
          <a:noFill/>
        </xdr:spPr>
      </xdr:pic>
      <xdr:sp macro="" textlink="">
        <xdr:nvSpPr>
          <xdr:cNvPr id="14" name="Textfeld 4"/>
          <xdr:cNvSpPr txBox="1"/>
        </xdr:nvSpPr>
        <xdr:spPr>
          <a:xfrm>
            <a:off x="2051720" y="4149080"/>
            <a:ext cx="3961917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Eingangssignal von Sinusgenerator: </a:t>
            </a:r>
            <a:br>
              <a:rPr lang="de-DE" sz="1200">
                <a:latin typeface="Arial" pitchFamily="34" charset="0"/>
                <a:cs typeface="Arial" pitchFamily="34" charset="0"/>
              </a:rPr>
            </a:br>
            <a:r>
              <a:rPr lang="de-DE" sz="1200">
                <a:latin typeface="Arial" pitchFamily="34" charset="0"/>
                <a:cs typeface="Arial" pitchFamily="34" charset="0"/>
              </a:rPr>
              <a:t>Tonburst alle 500ms, 125mVss </a:t>
            </a:r>
            <a:r>
              <a:rPr lang="de-DE" sz="1200">
                <a:latin typeface="Arial" pitchFamily="34" charset="0"/>
                <a:ea typeface="Cambria Math"/>
                <a:cs typeface="Arial" pitchFamily="34" charset="0"/>
              </a:rPr>
              <a:t>≙ 9,0mm am Bildschirm</a:t>
            </a:r>
            <a:endParaRPr lang="de-DE" sz="12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15" name="Textfeld 5"/>
          <xdr:cNvSpPr txBox="1"/>
        </xdr:nvSpPr>
        <xdr:spPr>
          <a:xfrm>
            <a:off x="4788024" y="3501008"/>
            <a:ext cx="75533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200">
                <a:latin typeface="Arial" pitchFamily="34" charset="0"/>
                <a:cs typeface="Arial" pitchFamily="34" charset="0"/>
              </a:rPr>
              <a:t>726,4Hz</a:t>
            </a:r>
          </a:p>
        </xdr:txBody>
      </xdr:sp>
      <xdr:sp macro="" textlink="">
        <xdr:nvSpPr>
          <xdr:cNvPr id="16" name="Textfeld 6"/>
          <xdr:cNvSpPr txBox="1"/>
        </xdr:nvSpPr>
        <xdr:spPr>
          <a:xfrm>
            <a:off x="5544857" y="3501008"/>
            <a:ext cx="75533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200">
                <a:latin typeface="Arial" pitchFamily="34" charset="0"/>
                <a:cs typeface="Arial" pitchFamily="34" charset="0"/>
              </a:rPr>
              <a:t>746,2Hz</a:t>
            </a:r>
          </a:p>
        </xdr:txBody>
      </xdr:sp>
      <xdr:sp macro="" textlink="">
        <xdr:nvSpPr>
          <xdr:cNvPr id="17" name="Textfeld 7"/>
          <xdr:cNvSpPr txBox="1"/>
        </xdr:nvSpPr>
        <xdr:spPr>
          <a:xfrm>
            <a:off x="4067944" y="3501008"/>
            <a:ext cx="75533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200">
                <a:latin typeface="Arial" pitchFamily="34" charset="0"/>
                <a:cs typeface="Arial" pitchFamily="34" charset="0"/>
              </a:rPr>
              <a:t>707,0Hz</a:t>
            </a:r>
          </a:p>
        </xdr:txBody>
      </xdr:sp>
      <xdr:sp macro="" textlink="">
        <xdr:nvSpPr>
          <xdr:cNvPr id="18" name="Textfeld 8"/>
          <xdr:cNvSpPr txBox="1"/>
        </xdr:nvSpPr>
        <xdr:spPr>
          <a:xfrm>
            <a:off x="3312609" y="3501008"/>
            <a:ext cx="75533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200">
                <a:latin typeface="Arial" pitchFamily="34" charset="0"/>
                <a:cs typeface="Arial" pitchFamily="34" charset="0"/>
              </a:rPr>
              <a:t>688,0Hz</a:t>
            </a:r>
          </a:p>
        </xdr:txBody>
      </xdr:sp>
      <xdr:sp macro="" textlink="">
        <xdr:nvSpPr>
          <xdr:cNvPr id="19" name="Textfeld 9"/>
          <xdr:cNvSpPr txBox="1"/>
        </xdr:nvSpPr>
        <xdr:spPr>
          <a:xfrm>
            <a:off x="2592529" y="3501008"/>
            <a:ext cx="75533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200">
                <a:latin typeface="Arial" pitchFamily="34" charset="0"/>
                <a:cs typeface="Arial" pitchFamily="34" charset="0"/>
              </a:rPr>
              <a:t>669,8Hz</a:t>
            </a:r>
          </a:p>
        </xdr:txBody>
      </xdr:sp>
      <xdr:sp macro="" textlink="">
        <xdr:nvSpPr>
          <xdr:cNvPr id="20" name="Textfeld 10"/>
          <xdr:cNvSpPr txBox="1"/>
        </xdr:nvSpPr>
        <xdr:spPr>
          <a:xfrm>
            <a:off x="1835696" y="3501008"/>
            <a:ext cx="75533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200">
                <a:latin typeface="Arial" pitchFamily="34" charset="0"/>
                <a:cs typeface="Arial" pitchFamily="34" charset="0"/>
              </a:rPr>
              <a:t>652,0Hz</a:t>
            </a:r>
          </a:p>
        </xdr:txBody>
      </xdr:sp>
      <xdr:sp macro="" textlink="">
        <xdr:nvSpPr>
          <xdr:cNvPr id="21" name="Textfeld 11"/>
          <xdr:cNvSpPr txBox="1"/>
        </xdr:nvSpPr>
        <xdr:spPr>
          <a:xfrm>
            <a:off x="2339752" y="2708920"/>
            <a:ext cx="2912977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Ausgangssignal von Mikrofonverstärker </a:t>
            </a:r>
          </a:p>
        </xdr:txBody>
      </xdr:sp>
    </xdr:grpSp>
    <xdr:clientData/>
  </xdr:twoCellAnchor>
  <xdr:twoCellAnchor>
    <xdr:from>
      <xdr:col>1</xdr:col>
      <xdr:colOff>0</xdr:colOff>
      <xdr:row>47</xdr:row>
      <xdr:rowOff>11946</xdr:rowOff>
    </xdr:from>
    <xdr:to>
      <xdr:col>9</xdr:col>
      <xdr:colOff>266700</xdr:colOff>
      <xdr:row>69</xdr:row>
      <xdr:rowOff>138153</xdr:rowOff>
    </xdr:to>
    <xdr:grpSp>
      <xdr:nvGrpSpPr>
        <xdr:cNvPr id="22" name="Gruppieren 21"/>
        <xdr:cNvGrpSpPr/>
      </xdr:nvGrpSpPr>
      <xdr:grpSpPr>
        <a:xfrm>
          <a:off x="762000" y="9525040"/>
          <a:ext cx="6362700" cy="4567238"/>
          <a:chOff x="595315" y="738190"/>
          <a:chExt cx="6362700" cy="4305300"/>
        </a:xfrm>
      </xdr:grpSpPr>
      <xdr:pic>
        <xdr:nvPicPr>
          <xdr:cNvPr id="23" name="Picture 2" descr="C:\Users\wh\Documents\Documents\Projekte\Elektronik\Aktivbox_3-Wege\AB_3W_Messung2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595315" y="738190"/>
            <a:ext cx="6362700" cy="4305300"/>
          </a:xfrm>
          <a:prstGeom prst="rect">
            <a:avLst/>
          </a:prstGeom>
          <a:noFill/>
        </xdr:spPr>
      </xdr:pic>
      <xdr:sp macro="" textlink="">
        <xdr:nvSpPr>
          <xdr:cNvPr id="24" name="Textfeld 12"/>
          <xdr:cNvSpPr txBox="1"/>
        </xdr:nvSpPr>
        <xdr:spPr>
          <a:xfrm>
            <a:off x="2094772" y="4149080"/>
            <a:ext cx="387580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Tonburst 726,4Hz: 125mVss </a:t>
            </a:r>
            <a:r>
              <a:rPr lang="de-DE" sz="1200">
                <a:latin typeface="Arial" pitchFamily="34" charset="0"/>
                <a:ea typeface="Cambria Math"/>
                <a:cs typeface="Arial" pitchFamily="34" charset="0"/>
              </a:rPr>
              <a:t>≙ 9,0mm am Bildschirm</a:t>
            </a:r>
            <a:r>
              <a:rPr lang="de-DE" sz="1200">
                <a:latin typeface="Arial" pitchFamily="34" charset="0"/>
                <a:cs typeface="Arial" pitchFamily="34" charset="0"/>
              </a:rPr>
              <a:t> </a:t>
            </a:r>
          </a:p>
        </xdr:txBody>
      </xdr:sp>
      <xdr:cxnSp macro="">
        <xdr:nvCxnSpPr>
          <xdr:cNvPr id="25" name="Gerade Verbindung 24"/>
          <xdr:cNvCxnSpPr/>
        </xdr:nvCxnSpPr>
        <xdr:spPr>
          <a:xfrm>
            <a:off x="1835696" y="1124744"/>
            <a:ext cx="0" cy="172819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Gerade Verbindung mit Pfeil 25"/>
          <xdr:cNvCxnSpPr/>
        </xdr:nvCxnSpPr>
        <xdr:spPr>
          <a:xfrm flipH="1">
            <a:off x="1547664" y="2996952"/>
            <a:ext cx="659948" cy="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Textfeld 25"/>
          <xdr:cNvSpPr txBox="1"/>
        </xdr:nvSpPr>
        <xdr:spPr>
          <a:xfrm>
            <a:off x="683568" y="2636912"/>
            <a:ext cx="764953" cy="83099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Laufzeit</a:t>
            </a:r>
          </a:p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direkter</a:t>
            </a:r>
          </a:p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Schall</a:t>
            </a:r>
          </a:p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3ms</a:t>
            </a:r>
          </a:p>
        </xdr:txBody>
      </xdr:sp>
      <xdr:cxnSp macro="">
        <xdr:nvCxnSpPr>
          <xdr:cNvPr id="28" name="Gerade Verbindung 27"/>
          <xdr:cNvCxnSpPr/>
        </xdr:nvCxnSpPr>
        <xdr:spPr>
          <a:xfrm>
            <a:off x="1978960" y="1124744"/>
            <a:ext cx="752" cy="79208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Gerade Verbindung mit Pfeil 28"/>
          <xdr:cNvCxnSpPr/>
        </xdr:nvCxnSpPr>
        <xdr:spPr>
          <a:xfrm flipH="1">
            <a:off x="1976220" y="1155186"/>
            <a:ext cx="288032" cy="0"/>
          </a:xfrm>
          <a:prstGeom prst="straightConnector1">
            <a:avLst/>
          </a:prstGeom>
          <a:ln w="317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Gerade Verbindung mit Pfeil 29"/>
          <xdr:cNvCxnSpPr/>
        </xdr:nvCxnSpPr>
        <xdr:spPr>
          <a:xfrm flipH="1">
            <a:off x="1542668" y="1155186"/>
            <a:ext cx="288032" cy="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Gerade Verbindung 30"/>
          <xdr:cNvCxnSpPr/>
        </xdr:nvCxnSpPr>
        <xdr:spPr>
          <a:xfrm>
            <a:off x="2207612" y="2492896"/>
            <a:ext cx="0" cy="57606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Gerade Verbindung mit Pfeil 31"/>
          <xdr:cNvCxnSpPr/>
        </xdr:nvCxnSpPr>
        <xdr:spPr>
          <a:xfrm flipH="1">
            <a:off x="1547664" y="2780928"/>
            <a:ext cx="288032" cy="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Gerade Verbindung mit Pfeil 32"/>
          <xdr:cNvCxnSpPr/>
        </xdr:nvCxnSpPr>
        <xdr:spPr>
          <a:xfrm flipH="1">
            <a:off x="1187624" y="1298450"/>
            <a:ext cx="947980" cy="0"/>
          </a:xfrm>
          <a:prstGeom prst="straightConnector1">
            <a:avLst/>
          </a:prstGeom>
          <a:ln w="3175">
            <a:solidFill>
              <a:schemeClr val="tx1"/>
            </a:solidFill>
            <a:headEnd type="non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Gerade Verbindung mit Pfeil 33"/>
          <xdr:cNvCxnSpPr/>
        </xdr:nvCxnSpPr>
        <xdr:spPr>
          <a:xfrm flipH="1">
            <a:off x="1199500" y="2510710"/>
            <a:ext cx="864096" cy="0"/>
          </a:xfrm>
          <a:prstGeom prst="straightConnector1">
            <a:avLst/>
          </a:prstGeom>
          <a:ln w="3175">
            <a:solidFill>
              <a:schemeClr val="tx1"/>
            </a:solidFill>
            <a:headEnd type="non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Gerade Verbindung 34"/>
          <xdr:cNvCxnSpPr/>
        </xdr:nvCxnSpPr>
        <xdr:spPr>
          <a:xfrm>
            <a:off x="1259632" y="1305140"/>
            <a:ext cx="0" cy="1187756"/>
          </a:xfrm>
          <a:prstGeom prst="line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Textfeld 49"/>
          <xdr:cNvSpPr txBox="1"/>
        </xdr:nvSpPr>
        <xdr:spPr>
          <a:xfrm>
            <a:off x="1884499" y="3068960"/>
            <a:ext cx="2231701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Laufzeit indirekter Schall 7ms</a:t>
            </a:r>
          </a:p>
        </xdr:txBody>
      </xdr:sp>
      <xdr:cxnSp macro="">
        <xdr:nvCxnSpPr>
          <xdr:cNvPr id="37" name="Gerade Verbindung mit Pfeil 36"/>
          <xdr:cNvCxnSpPr/>
        </xdr:nvCxnSpPr>
        <xdr:spPr>
          <a:xfrm flipH="1" flipV="1">
            <a:off x="1835696" y="2998646"/>
            <a:ext cx="144016" cy="214330"/>
          </a:xfrm>
          <a:prstGeom prst="straightConnector1">
            <a:avLst/>
          </a:prstGeom>
          <a:ln w="3175">
            <a:solidFill>
              <a:schemeClr val="tx1"/>
            </a:solidFill>
            <a:headEnd type="non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Gerade Verbindung mit Pfeil 37"/>
          <xdr:cNvCxnSpPr/>
        </xdr:nvCxnSpPr>
        <xdr:spPr>
          <a:xfrm flipH="1">
            <a:off x="2219488" y="2996952"/>
            <a:ext cx="288032" cy="0"/>
          </a:xfrm>
          <a:prstGeom prst="straightConnector1">
            <a:avLst/>
          </a:prstGeom>
          <a:ln w="317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Gerade Verbindung mit Pfeil 38"/>
          <xdr:cNvCxnSpPr/>
        </xdr:nvCxnSpPr>
        <xdr:spPr>
          <a:xfrm flipV="1">
            <a:off x="1403648" y="2780928"/>
            <a:ext cx="288032" cy="216024"/>
          </a:xfrm>
          <a:prstGeom prst="straightConnector1">
            <a:avLst/>
          </a:prstGeom>
          <a:ln w="3175">
            <a:solidFill>
              <a:schemeClr val="tx1"/>
            </a:solidFill>
            <a:headEnd type="non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0" name="Textfeld 55"/>
          <xdr:cNvSpPr txBox="1"/>
        </xdr:nvSpPr>
        <xdr:spPr>
          <a:xfrm>
            <a:off x="2359739" y="2859626"/>
            <a:ext cx="3004349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einsetzende Boden-/Deckenreflektionen</a:t>
            </a:r>
          </a:p>
        </xdr:txBody>
      </xdr:sp>
      <xdr:sp macro="" textlink="">
        <xdr:nvSpPr>
          <xdr:cNvPr id="41" name="Textfeld 56"/>
          <xdr:cNvSpPr txBox="1"/>
        </xdr:nvSpPr>
        <xdr:spPr>
          <a:xfrm>
            <a:off x="1543915" y="836712"/>
            <a:ext cx="195117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Einschwingzeit ca. 1,5ms</a:t>
            </a:r>
          </a:p>
        </xdr:txBody>
      </xdr:sp>
      <xdr:sp macro="" textlink="">
        <xdr:nvSpPr>
          <xdr:cNvPr id="42" name="Textfeld 57"/>
          <xdr:cNvSpPr txBox="1"/>
        </xdr:nvSpPr>
        <xdr:spPr>
          <a:xfrm rot="16200000">
            <a:off x="229181" y="1679715"/>
            <a:ext cx="1370440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Amplitude 39</a:t>
            </a:r>
            <a:r>
              <a:rPr lang="de-DE" sz="1200">
                <a:latin typeface="Arial" pitchFamily="34" charset="0"/>
                <a:ea typeface="Cambria Math"/>
                <a:cs typeface="Arial" pitchFamily="34" charset="0"/>
              </a:rPr>
              <a:t>mm</a:t>
            </a:r>
          </a:p>
          <a:p>
            <a:pPr algn="ctr"/>
            <a:r>
              <a:rPr lang="de-DE" sz="1200">
                <a:latin typeface="Arial" pitchFamily="34" charset="0"/>
                <a:ea typeface="Cambria Math"/>
                <a:cs typeface="Arial" pitchFamily="34" charset="0"/>
              </a:rPr>
              <a:t> am Bildschirm</a:t>
            </a:r>
            <a:r>
              <a:rPr lang="de-DE" sz="1200">
                <a:latin typeface="Arial" pitchFamily="34" charset="0"/>
                <a:cs typeface="Arial" pitchFamily="34" charset="0"/>
              </a:rPr>
              <a:t> </a:t>
            </a:r>
          </a:p>
        </xdr:txBody>
      </xdr:sp>
      <xdr:cxnSp macro="">
        <xdr:nvCxnSpPr>
          <xdr:cNvPr id="43" name="Gerade Verbindung mit Pfeil 42"/>
          <xdr:cNvCxnSpPr/>
        </xdr:nvCxnSpPr>
        <xdr:spPr>
          <a:xfrm flipH="1">
            <a:off x="6012160" y="2996952"/>
            <a:ext cx="288032" cy="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Textfeld 22"/>
          <xdr:cNvSpPr txBox="1"/>
        </xdr:nvSpPr>
        <xdr:spPr>
          <a:xfrm>
            <a:off x="5892736" y="3068960"/>
            <a:ext cx="1011367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Abklingfase</a:t>
            </a:r>
          </a:p>
        </xdr:txBody>
      </xdr:sp>
    </xdr:grpSp>
    <xdr:clientData/>
  </xdr:twoCellAnchor>
  <xdr:twoCellAnchor>
    <xdr:from>
      <xdr:col>1</xdr:col>
      <xdr:colOff>0</xdr:colOff>
      <xdr:row>70</xdr:row>
      <xdr:rowOff>182608</xdr:rowOff>
    </xdr:from>
    <xdr:to>
      <xdr:col>8</xdr:col>
      <xdr:colOff>7620</xdr:colOff>
      <xdr:row>93</xdr:row>
      <xdr:rowOff>91168</xdr:rowOff>
    </xdr:to>
    <xdr:grpSp>
      <xdr:nvGrpSpPr>
        <xdr:cNvPr id="45" name="Gruppieren 44"/>
        <xdr:cNvGrpSpPr/>
      </xdr:nvGrpSpPr>
      <xdr:grpSpPr>
        <a:xfrm>
          <a:off x="762000" y="14339139"/>
          <a:ext cx="5341620" cy="4551998"/>
          <a:chOff x="1233489" y="747714"/>
          <a:chExt cx="5341620" cy="4290060"/>
        </a:xfrm>
      </xdr:grpSpPr>
      <xdr:pic>
        <xdr:nvPicPr>
          <xdr:cNvPr id="46" name="Picture 2" descr="C:\Users\wh\Documents\Documents\Projekte\Elektronik\Aktivbox_3-Wege\AB_3W_Messung3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233489" y="747714"/>
            <a:ext cx="5341620" cy="4290060"/>
          </a:xfrm>
          <a:prstGeom prst="rect">
            <a:avLst/>
          </a:prstGeom>
          <a:noFill/>
        </xdr:spPr>
      </xdr:pic>
      <xdr:sp macro="" textlink="">
        <xdr:nvSpPr>
          <xdr:cNvPr id="47" name="Textfeld 26"/>
          <xdr:cNvSpPr txBox="1"/>
        </xdr:nvSpPr>
        <xdr:spPr>
          <a:xfrm>
            <a:off x="3297022" y="4149080"/>
            <a:ext cx="147130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Tonburst 726,4Hz </a:t>
            </a:r>
          </a:p>
        </xdr:txBody>
      </xdr:sp>
      <xdr:cxnSp macro="">
        <xdr:nvCxnSpPr>
          <xdr:cNvPr id="48" name="Gerade Verbindung 47"/>
          <xdr:cNvCxnSpPr/>
        </xdr:nvCxnSpPr>
        <xdr:spPr>
          <a:xfrm>
            <a:off x="2483768" y="4149080"/>
            <a:ext cx="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Gerade Verbindung 48"/>
          <xdr:cNvCxnSpPr/>
        </xdr:nvCxnSpPr>
        <xdr:spPr>
          <a:xfrm flipV="1">
            <a:off x="2458828" y="1124744"/>
            <a:ext cx="0" cy="295232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Gerade Verbindung 49"/>
          <xdr:cNvCxnSpPr/>
        </xdr:nvCxnSpPr>
        <xdr:spPr>
          <a:xfrm flipV="1">
            <a:off x="4537880" y="3573016"/>
            <a:ext cx="0" cy="50405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Gerade Verbindung 50"/>
          <xdr:cNvCxnSpPr/>
        </xdr:nvCxnSpPr>
        <xdr:spPr>
          <a:xfrm flipV="1">
            <a:off x="2456472" y="3573016"/>
            <a:ext cx="0" cy="50405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Gerade Verbindung 51"/>
          <xdr:cNvCxnSpPr/>
        </xdr:nvCxnSpPr>
        <xdr:spPr>
          <a:xfrm flipV="1">
            <a:off x="4122536" y="1903184"/>
            <a:ext cx="0" cy="100811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Gerade Verbindung 52"/>
          <xdr:cNvCxnSpPr/>
        </xdr:nvCxnSpPr>
        <xdr:spPr>
          <a:xfrm flipV="1">
            <a:off x="2034304" y="1903184"/>
            <a:ext cx="0" cy="100811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Gerade Verbindung 53"/>
          <xdr:cNvCxnSpPr/>
        </xdr:nvCxnSpPr>
        <xdr:spPr>
          <a:xfrm>
            <a:off x="2456472" y="3645024"/>
            <a:ext cx="2088232" cy="0"/>
          </a:xfrm>
          <a:prstGeom prst="line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Textfeld 61"/>
          <xdr:cNvSpPr txBox="1"/>
        </xdr:nvSpPr>
        <xdr:spPr>
          <a:xfrm>
            <a:off x="2540809" y="3356992"/>
            <a:ext cx="1789272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68,5mm am Bildschirm</a:t>
            </a:r>
          </a:p>
        </xdr:txBody>
      </xdr:sp>
      <xdr:cxnSp macro="">
        <xdr:nvCxnSpPr>
          <xdr:cNvPr id="56" name="Gerade Verbindung 55"/>
          <xdr:cNvCxnSpPr/>
        </xdr:nvCxnSpPr>
        <xdr:spPr>
          <a:xfrm>
            <a:off x="2038072" y="2852936"/>
            <a:ext cx="2088232" cy="0"/>
          </a:xfrm>
          <a:prstGeom prst="line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7" name="Textfeld 63"/>
          <xdr:cNvSpPr txBox="1"/>
        </xdr:nvSpPr>
        <xdr:spPr>
          <a:xfrm>
            <a:off x="2771800" y="2863969"/>
            <a:ext cx="782587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68,5mm</a:t>
            </a:r>
          </a:p>
        </xdr:txBody>
      </xdr:sp>
      <xdr:cxnSp macro="">
        <xdr:nvCxnSpPr>
          <xdr:cNvPr id="58" name="Gerade Verbindung 57"/>
          <xdr:cNvCxnSpPr/>
        </xdr:nvCxnSpPr>
        <xdr:spPr>
          <a:xfrm>
            <a:off x="2445101" y="2708920"/>
            <a:ext cx="1679999" cy="0"/>
          </a:xfrm>
          <a:prstGeom prst="line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Gerade Verbindung 58"/>
          <xdr:cNvCxnSpPr/>
        </xdr:nvCxnSpPr>
        <xdr:spPr>
          <a:xfrm>
            <a:off x="2042194" y="2708920"/>
            <a:ext cx="412996" cy="0"/>
          </a:xfrm>
          <a:prstGeom prst="line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Textfeld 73"/>
          <xdr:cNvSpPr txBox="1"/>
        </xdr:nvSpPr>
        <xdr:spPr>
          <a:xfrm>
            <a:off x="1979712" y="2459555"/>
            <a:ext cx="52610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14,3</a:t>
            </a:r>
          </a:p>
        </xdr:txBody>
      </xdr:sp>
      <xdr:sp macro="" textlink="">
        <xdr:nvSpPr>
          <xdr:cNvPr id="61" name="Textfeld 74"/>
          <xdr:cNvSpPr txBox="1"/>
        </xdr:nvSpPr>
        <xdr:spPr>
          <a:xfrm>
            <a:off x="2621510" y="2458992"/>
            <a:ext cx="782587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 54,2mm</a:t>
            </a:r>
          </a:p>
        </xdr:txBody>
      </xdr:sp>
    </xdr:grpSp>
    <xdr:clientData/>
  </xdr:twoCellAnchor>
  <xdr:twoCellAnchor>
    <xdr:from>
      <xdr:col>1</xdr:col>
      <xdr:colOff>0</xdr:colOff>
      <xdr:row>1</xdr:row>
      <xdr:rowOff>178604</xdr:rowOff>
    </xdr:from>
    <xdr:to>
      <xdr:col>8</xdr:col>
      <xdr:colOff>498648</xdr:colOff>
      <xdr:row>21</xdr:row>
      <xdr:rowOff>173124</xdr:rowOff>
    </xdr:to>
    <xdr:grpSp>
      <xdr:nvGrpSpPr>
        <xdr:cNvPr id="62" name="Gruppieren 61"/>
        <xdr:cNvGrpSpPr/>
      </xdr:nvGrpSpPr>
      <xdr:grpSpPr>
        <a:xfrm>
          <a:off x="762000" y="369104"/>
          <a:ext cx="5832648" cy="4054551"/>
          <a:chOff x="1691680" y="1772816"/>
          <a:chExt cx="5832648" cy="3816426"/>
        </a:xfrm>
      </xdr:grpSpPr>
      <xdr:cxnSp macro="">
        <xdr:nvCxnSpPr>
          <xdr:cNvPr id="63" name="Gerade Verbindung 62"/>
          <xdr:cNvCxnSpPr/>
        </xdr:nvCxnSpPr>
        <xdr:spPr>
          <a:xfrm>
            <a:off x="1691680" y="5589240"/>
            <a:ext cx="5832648" cy="0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4" name="Rechteck 63"/>
          <xdr:cNvSpPr/>
        </xdr:nvSpPr>
        <xdr:spPr>
          <a:xfrm>
            <a:off x="3203848" y="2348880"/>
            <a:ext cx="576064" cy="1296144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cxnSp macro="">
        <xdr:nvCxnSpPr>
          <xdr:cNvPr id="65" name="Gerade Verbindung 64"/>
          <xdr:cNvCxnSpPr/>
        </xdr:nvCxnSpPr>
        <xdr:spPr>
          <a:xfrm flipV="1">
            <a:off x="3459627" y="3645024"/>
            <a:ext cx="0" cy="194421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Gerade Verbindung 65"/>
          <xdr:cNvCxnSpPr/>
        </xdr:nvCxnSpPr>
        <xdr:spPr>
          <a:xfrm flipV="1">
            <a:off x="3531635" y="3645024"/>
            <a:ext cx="0" cy="194421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7" name="Rechteck 66"/>
          <xdr:cNvSpPr/>
        </xdr:nvSpPr>
        <xdr:spPr>
          <a:xfrm>
            <a:off x="6228184" y="2564904"/>
            <a:ext cx="432048" cy="7200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cxnSp macro="">
        <xdr:nvCxnSpPr>
          <xdr:cNvPr id="68" name="Gerade Verbindung 67"/>
          <xdr:cNvCxnSpPr/>
        </xdr:nvCxnSpPr>
        <xdr:spPr>
          <a:xfrm>
            <a:off x="2555776" y="2492896"/>
            <a:ext cx="1008112" cy="0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Gerade Verbindung 68"/>
          <xdr:cNvCxnSpPr/>
        </xdr:nvCxnSpPr>
        <xdr:spPr>
          <a:xfrm>
            <a:off x="2771800" y="2708920"/>
            <a:ext cx="792088" cy="0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Gerade Verbindung 69"/>
          <xdr:cNvCxnSpPr/>
        </xdr:nvCxnSpPr>
        <xdr:spPr>
          <a:xfrm>
            <a:off x="2987824" y="3068960"/>
            <a:ext cx="576064" cy="0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1" name="Rechteck 70"/>
          <xdr:cNvSpPr/>
        </xdr:nvSpPr>
        <xdr:spPr>
          <a:xfrm>
            <a:off x="3635896" y="2963882"/>
            <a:ext cx="72008" cy="216024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cxnSp macro="">
        <xdr:nvCxnSpPr>
          <xdr:cNvPr id="72" name="Gerade Verbindung 71"/>
          <xdr:cNvCxnSpPr/>
        </xdr:nvCxnSpPr>
        <xdr:spPr>
          <a:xfrm flipV="1">
            <a:off x="3707904" y="2930696"/>
            <a:ext cx="70847" cy="66257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Gerade Verbindung 72"/>
          <xdr:cNvCxnSpPr/>
        </xdr:nvCxnSpPr>
        <xdr:spPr>
          <a:xfrm>
            <a:off x="3707904" y="3140968"/>
            <a:ext cx="70847" cy="75297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Rechteck 73"/>
          <xdr:cNvSpPr/>
        </xdr:nvSpPr>
        <xdr:spPr>
          <a:xfrm>
            <a:off x="3655974" y="2619602"/>
            <a:ext cx="72008" cy="17863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cxnSp macro="">
        <xdr:nvCxnSpPr>
          <xdr:cNvPr id="75" name="Gerade Verbindung 74"/>
          <xdr:cNvCxnSpPr/>
        </xdr:nvCxnSpPr>
        <xdr:spPr>
          <a:xfrm flipV="1">
            <a:off x="3729143" y="2616280"/>
            <a:ext cx="49608" cy="4659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Gerade Verbindung 75"/>
          <xdr:cNvCxnSpPr/>
        </xdr:nvCxnSpPr>
        <xdr:spPr>
          <a:xfrm>
            <a:off x="3729143" y="2754963"/>
            <a:ext cx="52492" cy="5746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Flussdiagramm: Verzögerung 76"/>
          <xdr:cNvSpPr/>
        </xdr:nvSpPr>
        <xdr:spPr>
          <a:xfrm>
            <a:off x="3745058" y="2458276"/>
            <a:ext cx="72008" cy="72008"/>
          </a:xfrm>
          <a:prstGeom prst="flowChartDelay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78" name="Rechteck 77"/>
          <xdr:cNvSpPr/>
        </xdr:nvSpPr>
        <xdr:spPr>
          <a:xfrm>
            <a:off x="3699573" y="2420888"/>
            <a:ext cx="45719" cy="14401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cxnSp macro="">
        <xdr:nvCxnSpPr>
          <xdr:cNvPr id="79" name="Gerade Verbindung mit Pfeil 78"/>
          <xdr:cNvCxnSpPr/>
        </xdr:nvCxnSpPr>
        <xdr:spPr>
          <a:xfrm>
            <a:off x="3059832" y="3068960"/>
            <a:ext cx="0" cy="252028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0" name="Textfeld 80"/>
          <xdr:cNvSpPr txBox="1"/>
        </xdr:nvSpPr>
        <xdr:spPr>
          <a:xfrm rot="16200000">
            <a:off x="2597522" y="4149080"/>
            <a:ext cx="769571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1100mm</a:t>
            </a:r>
          </a:p>
        </xdr:txBody>
      </xdr:sp>
      <xdr:cxnSp macro="">
        <xdr:nvCxnSpPr>
          <xdr:cNvPr id="81" name="Gerade Verbindung mit Pfeil 80"/>
          <xdr:cNvCxnSpPr/>
        </xdr:nvCxnSpPr>
        <xdr:spPr>
          <a:xfrm>
            <a:off x="2839600" y="2708920"/>
            <a:ext cx="0" cy="288032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2" name="Textfeld 82"/>
          <xdr:cNvSpPr txBox="1"/>
        </xdr:nvSpPr>
        <xdr:spPr>
          <a:xfrm rot="16200000">
            <a:off x="2375792" y="4149080"/>
            <a:ext cx="78098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1280mm</a:t>
            </a:r>
          </a:p>
        </xdr:txBody>
      </xdr:sp>
      <xdr:cxnSp macro="">
        <xdr:nvCxnSpPr>
          <xdr:cNvPr id="83" name="Gerade Verbindung mit Pfeil 82"/>
          <xdr:cNvCxnSpPr/>
        </xdr:nvCxnSpPr>
        <xdr:spPr>
          <a:xfrm>
            <a:off x="2616751" y="2492896"/>
            <a:ext cx="0" cy="3096344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4" name="Textfeld 86"/>
          <xdr:cNvSpPr txBox="1"/>
        </xdr:nvSpPr>
        <xdr:spPr>
          <a:xfrm rot="16200000">
            <a:off x="2159768" y="4149080"/>
            <a:ext cx="78098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1390mm</a:t>
            </a:r>
          </a:p>
        </xdr:txBody>
      </xdr:sp>
      <xdr:cxnSp macro="">
        <xdr:nvCxnSpPr>
          <xdr:cNvPr id="85" name="Gerade Verbindung 84"/>
          <xdr:cNvCxnSpPr/>
        </xdr:nvCxnSpPr>
        <xdr:spPr>
          <a:xfrm flipH="1" flipV="1">
            <a:off x="6578936" y="2640842"/>
            <a:ext cx="9289" cy="294839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Gerade Verbindung 85"/>
          <xdr:cNvCxnSpPr/>
        </xdr:nvCxnSpPr>
        <xdr:spPr>
          <a:xfrm flipH="1" flipV="1">
            <a:off x="6547281" y="2636912"/>
            <a:ext cx="9289" cy="294839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Gerade Verbindung mit Pfeil 86"/>
          <xdr:cNvCxnSpPr/>
        </xdr:nvCxnSpPr>
        <xdr:spPr>
          <a:xfrm flipH="1">
            <a:off x="5943750" y="2602050"/>
            <a:ext cx="3547" cy="298719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8" name="Textfeld 99"/>
          <xdr:cNvSpPr txBox="1"/>
        </xdr:nvSpPr>
        <xdr:spPr>
          <a:xfrm rot="16200000">
            <a:off x="5472136" y="4149080"/>
            <a:ext cx="78098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1350mm</a:t>
            </a:r>
          </a:p>
        </xdr:txBody>
      </xdr:sp>
      <xdr:cxnSp macro="">
        <xdr:nvCxnSpPr>
          <xdr:cNvPr id="89" name="Gerade Verbindung mit Pfeil 88"/>
          <xdr:cNvCxnSpPr/>
        </xdr:nvCxnSpPr>
        <xdr:spPr>
          <a:xfrm>
            <a:off x="3779912" y="2246609"/>
            <a:ext cx="2232248" cy="0"/>
          </a:xfrm>
          <a:prstGeom prst="straightConnector1">
            <a:avLst/>
          </a:prstGeom>
          <a:ln w="3175"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Textfeld 105"/>
          <xdr:cNvSpPr txBox="1"/>
        </xdr:nvSpPr>
        <xdr:spPr>
          <a:xfrm>
            <a:off x="4403049" y="1988840"/>
            <a:ext cx="78098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1000mm</a:t>
            </a:r>
          </a:p>
        </xdr:txBody>
      </xdr:sp>
      <xdr:sp macro="" textlink="">
        <xdr:nvSpPr>
          <xdr:cNvPr id="91" name="Rechteck 90"/>
          <xdr:cNvSpPr/>
        </xdr:nvSpPr>
        <xdr:spPr>
          <a:xfrm>
            <a:off x="6012160" y="2579190"/>
            <a:ext cx="219571" cy="4571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cxnSp macro="">
        <xdr:nvCxnSpPr>
          <xdr:cNvPr id="92" name="Gerade Verbindung mit Pfeil 91"/>
          <xdr:cNvCxnSpPr/>
        </xdr:nvCxnSpPr>
        <xdr:spPr>
          <a:xfrm flipV="1">
            <a:off x="3779912" y="2636912"/>
            <a:ext cx="2088232" cy="432048"/>
          </a:xfrm>
          <a:prstGeom prst="straightConnector1">
            <a:avLst/>
          </a:prstGeom>
          <a:ln w="3175">
            <a:solidFill>
              <a:schemeClr val="tx1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Gerade Verbindung mit Pfeil 92"/>
          <xdr:cNvCxnSpPr/>
        </xdr:nvCxnSpPr>
        <xdr:spPr>
          <a:xfrm>
            <a:off x="3791857" y="3080657"/>
            <a:ext cx="996167" cy="2508583"/>
          </a:xfrm>
          <a:prstGeom prst="straightConnector1">
            <a:avLst/>
          </a:prstGeom>
          <a:ln w="3175">
            <a:solidFill>
              <a:schemeClr val="tx1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Gerade Verbindung mit Pfeil 93"/>
          <xdr:cNvCxnSpPr/>
        </xdr:nvCxnSpPr>
        <xdr:spPr>
          <a:xfrm flipV="1">
            <a:off x="4788024" y="2708921"/>
            <a:ext cx="1080120" cy="2880321"/>
          </a:xfrm>
          <a:prstGeom prst="straightConnector1">
            <a:avLst/>
          </a:prstGeom>
          <a:ln w="3175">
            <a:solidFill>
              <a:schemeClr val="tx1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5" name="Textfeld 119"/>
          <xdr:cNvSpPr txBox="1"/>
        </xdr:nvSpPr>
        <xdr:spPr>
          <a:xfrm>
            <a:off x="6027272" y="2287905"/>
            <a:ext cx="772969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Mikrofon</a:t>
            </a:r>
          </a:p>
        </xdr:txBody>
      </xdr:sp>
      <xdr:sp macro="" textlink="">
        <xdr:nvSpPr>
          <xdr:cNvPr id="96" name="Textfeld 120"/>
          <xdr:cNvSpPr txBox="1"/>
        </xdr:nvSpPr>
        <xdr:spPr>
          <a:xfrm rot="20853599">
            <a:off x="4295613" y="2567941"/>
            <a:ext cx="1181735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Direkter Schall</a:t>
            </a:r>
          </a:p>
        </xdr:txBody>
      </xdr:sp>
      <xdr:sp macro="" textlink="">
        <xdr:nvSpPr>
          <xdr:cNvPr id="97" name="Textfeld 121"/>
          <xdr:cNvSpPr txBox="1"/>
        </xdr:nvSpPr>
        <xdr:spPr>
          <a:xfrm rot="17475809">
            <a:off x="4507817" y="4081985"/>
            <a:ext cx="1284327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200">
                <a:latin typeface="Arial" pitchFamily="34" charset="0"/>
                <a:cs typeface="Arial" pitchFamily="34" charset="0"/>
              </a:rPr>
              <a:t>Indirekter Schall</a:t>
            </a:r>
          </a:p>
        </xdr:txBody>
      </xdr:sp>
      <xdr:sp macro="" textlink="">
        <xdr:nvSpPr>
          <xdr:cNvPr id="98" name="Textfeld 122"/>
          <xdr:cNvSpPr txBox="1"/>
        </xdr:nvSpPr>
        <xdr:spPr>
          <a:xfrm>
            <a:off x="2413324" y="1772816"/>
            <a:ext cx="1654620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1600">
                <a:latin typeface="Arial" pitchFamily="34" charset="0"/>
                <a:cs typeface="Arial" pitchFamily="34" charset="0"/>
              </a:rPr>
              <a:t>Messanordnung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</xdr:rowOff>
    </xdr:from>
    <xdr:to>
      <xdr:col>7</xdr:col>
      <xdr:colOff>0</xdr:colOff>
      <xdr:row>14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9525</xdr:rowOff>
    </xdr:from>
    <xdr:to>
      <xdr:col>12</xdr:col>
      <xdr:colOff>390525</xdr:colOff>
      <xdr:row>14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</xdr:rowOff>
    </xdr:from>
    <xdr:to>
      <xdr:col>7</xdr:col>
      <xdr:colOff>0</xdr:colOff>
      <xdr:row>14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38101</xdr:colOff>
      <xdr:row>0</xdr:row>
      <xdr:rowOff>9525</xdr:rowOff>
    </xdr:from>
    <xdr:to>
      <xdr:col>12</xdr:col>
      <xdr:colOff>400051</xdr:colOff>
      <xdr:row>14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</xdr:rowOff>
    </xdr:from>
    <xdr:to>
      <xdr:col>7</xdr:col>
      <xdr:colOff>0</xdr:colOff>
      <xdr:row>14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9525</xdr:rowOff>
    </xdr:from>
    <xdr:to>
      <xdr:col>12</xdr:col>
      <xdr:colOff>381000</xdr:colOff>
      <xdr:row>14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</xdr:rowOff>
    </xdr:from>
    <xdr:to>
      <xdr:col>7</xdr:col>
      <xdr:colOff>0</xdr:colOff>
      <xdr:row>14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9525</xdr:rowOff>
    </xdr:from>
    <xdr:to>
      <xdr:col>12</xdr:col>
      <xdr:colOff>390525</xdr:colOff>
      <xdr:row>14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</xdr:rowOff>
    </xdr:from>
    <xdr:to>
      <xdr:col>7</xdr:col>
      <xdr:colOff>0</xdr:colOff>
      <xdr:row>14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9525</xdr:rowOff>
    </xdr:from>
    <xdr:to>
      <xdr:col>12</xdr:col>
      <xdr:colOff>390525</xdr:colOff>
      <xdr:row>14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</xdr:rowOff>
    </xdr:from>
    <xdr:to>
      <xdr:col>7</xdr:col>
      <xdr:colOff>0</xdr:colOff>
      <xdr:row>14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9525</xdr:rowOff>
    </xdr:from>
    <xdr:to>
      <xdr:col>12</xdr:col>
      <xdr:colOff>371475</xdr:colOff>
      <xdr:row>14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stbox_3-Wege_B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200S_B80_G20SC"/>
      <sheetName val="W200S_FRS8_DT94"/>
      <sheetName val="WS20E_FRS8_DT94"/>
      <sheetName val="W200S_FRS8_DT94 (2)"/>
      <sheetName val="W200S_W100S_DT94"/>
      <sheetName val="Frequenzweiche"/>
      <sheetName val="Phasengang"/>
      <sheetName val="Mikrofon"/>
      <sheetName val="Poti"/>
      <sheetName val="DT9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(Pos. '0')</v>
          </cell>
        </row>
        <row r="4">
          <cell r="A4" t="str">
            <v>(Pos. '1')</v>
          </cell>
        </row>
        <row r="5">
          <cell r="A5" t="str">
            <v>(Pos. '2')</v>
          </cell>
        </row>
        <row r="6">
          <cell r="A6" t="str">
            <v>(Pos. '3')</v>
          </cell>
        </row>
        <row r="7">
          <cell r="A7" t="str">
            <v>(Pos. '4')</v>
          </cell>
        </row>
        <row r="8">
          <cell r="A8" t="str">
            <v>(Pos. '5')</v>
          </cell>
        </row>
        <row r="9">
          <cell r="A9" t="str">
            <v>(Pos. '6')</v>
          </cell>
        </row>
        <row r="10">
          <cell r="A10" t="str">
            <v>(Pos. '7')</v>
          </cell>
        </row>
        <row r="11">
          <cell r="A11" t="str">
            <v>(Pos. '8')</v>
          </cell>
        </row>
        <row r="12">
          <cell r="A12" t="str">
            <v>(Pos. '9')</v>
          </cell>
        </row>
        <row r="13">
          <cell r="A13" t="str">
            <v>(Pos. 'A')</v>
          </cell>
        </row>
        <row r="14">
          <cell r="A14" t="str">
            <v>(Pos. 'B')</v>
          </cell>
        </row>
        <row r="15">
          <cell r="A15" t="str">
            <v>(Pos. 'C')</v>
          </cell>
        </row>
        <row r="16">
          <cell r="A16" t="str">
            <v>(Pos. 'D')</v>
          </cell>
        </row>
        <row r="17">
          <cell r="A17" t="str">
            <v>(Pos. 'E')</v>
          </cell>
        </row>
        <row r="18">
          <cell r="A18" t="str">
            <v>(Pos. 'F')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K2:T228"/>
  <sheetViews>
    <sheetView tabSelected="1" zoomScale="80" zoomScaleNormal="80" workbookViewId="0">
      <selection activeCell="K121" sqref="K121"/>
    </sheetView>
  </sheetViews>
  <sheetFormatPr baseColWidth="10" defaultRowHeight="15"/>
  <sheetData>
    <row r="2" spans="11:11" ht="18">
      <c r="K2" s="9" t="s">
        <v>56</v>
      </c>
    </row>
    <row r="4" spans="11:11" ht="15.75">
      <c r="K4" s="8" t="s">
        <v>57</v>
      </c>
    </row>
    <row r="5" spans="11:11" ht="15.75">
      <c r="K5" s="8" t="s">
        <v>58</v>
      </c>
    </row>
    <row r="6" spans="11:11" ht="15.75">
      <c r="K6" s="8" t="s">
        <v>59</v>
      </c>
    </row>
    <row r="7" spans="11:11" ht="15.75">
      <c r="K7" s="8" t="s">
        <v>60</v>
      </c>
    </row>
    <row r="8" spans="11:11" ht="15.75">
      <c r="K8" s="8" t="s">
        <v>61</v>
      </c>
    </row>
    <row r="9" spans="11:11" ht="15.75">
      <c r="K9" s="8" t="s">
        <v>62</v>
      </c>
    </row>
    <row r="10" spans="11:11" ht="15.75">
      <c r="K10" s="8" t="s">
        <v>63</v>
      </c>
    </row>
    <row r="11" spans="11:11" ht="15.75">
      <c r="K11" s="8"/>
    </row>
    <row r="12" spans="11:11" ht="15.75">
      <c r="K12" s="8" t="s">
        <v>64</v>
      </c>
    </row>
    <row r="13" spans="11:11" ht="15.75">
      <c r="K13" s="8"/>
    </row>
    <row r="14" spans="11:11" ht="15.75">
      <c r="K14" s="8" t="s">
        <v>65</v>
      </c>
    </row>
    <row r="15" spans="11:11" ht="15.75">
      <c r="K15" s="8" t="s">
        <v>66</v>
      </c>
    </row>
    <row r="16" spans="11:11" ht="15.75">
      <c r="K16" s="8" t="s">
        <v>67</v>
      </c>
    </row>
    <row r="17" spans="11:11" ht="15.75">
      <c r="K17" s="8"/>
    </row>
    <row r="18" spans="11:11" ht="15.75">
      <c r="K18" s="8" t="s">
        <v>68</v>
      </c>
    </row>
    <row r="19" spans="11:11" ht="15.75">
      <c r="K19" s="8" t="s">
        <v>69</v>
      </c>
    </row>
    <row r="20" spans="11:11" ht="15.75">
      <c r="K20" s="8" t="s">
        <v>70</v>
      </c>
    </row>
    <row r="21" spans="11:11" ht="15.75">
      <c r="K21" s="8"/>
    </row>
    <row r="22" spans="11:11" ht="15.75">
      <c r="K22" s="8" t="s">
        <v>71</v>
      </c>
    </row>
    <row r="23" spans="11:11" ht="15.75">
      <c r="K23" s="8" t="s">
        <v>72</v>
      </c>
    </row>
    <row r="24" spans="11:11" ht="15.75">
      <c r="K24" s="8" t="s">
        <v>73</v>
      </c>
    </row>
    <row r="25" spans="11:11" ht="15.75">
      <c r="K25" s="8" t="s">
        <v>87</v>
      </c>
    </row>
    <row r="26" spans="11:11" ht="15.75">
      <c r="K26" s="8"/>
    </row>
    <row r="27" spans="11:11" ht="15.75">
      <c r="K27" s="8" t="s">
        <v>74</v>
      </c>
    </row>
    <row r="28" spans="11:11" ht="15.75">
      <c r="K28" s="8" t="s">
        <v>75</v>
      </c>
    </row>
    <row r="29" spans="11:11" ht="15.75">
      <c r="K29" s="8"/>
    </row>
    <row r="30" spans="11:11" ht="15.75">
      <c r="K30" s="8" t="s">
        <v>76</v>
      </c>
    </row>
    <row r="31" spans="11:11" ht="15.75">
      <c r="K31" s="8" t="s">
        <v>77</v>
      </c>
    </row>
    <row r="32" spans="11:11" ht="15.75">
      <c r="K32" s="8"/>
    </row>
    <row r="33" spans="11:11" ht="15.75">
      <c r="K33" s="8" t="s">
        <v>78</v>
      </c>
    </row>
    <row r="34" spans="11:11" ht="15.75">
      <c r="K34" s="8" t="s">
        <v>79</v>
      </c>
    </row>
    <row r="35" spans="11:11" ht="15.75">
      <c r="K35" s="8" t="s">
        <v>80</v>
      </c>
    </row>
    <row r="36" spans="11:11" ht="15.75">
      <c r="K36" s="8"/>
    </row>
    <row r="37" spans="11:11" ht="15.75">
      <c r="K37" s="8" t="s">
        <v>103</v>
      </c>
    </row>
    <row r="38" spans="11:11" ht="15.75">
      <c r="K38" s="8" t="s">
        <v>104</v>
      </c>
    </row>
    <row r="39" spans="11:11" ht="15.75">
      <c r="K39" s="8" t="s">
        <v>81</v>
      </c>
    </row>
    <row r="40" spans="11:11" ht="15.75">
      <c r="K40" s="8" t="s">
        <v>82</v>
      </c>
    </row>
    <row r="41" spans="11:11" ht="15.75">
      <c r="K41" s="8"/>
    </row>
    <row r="42" spans="11:11" ht="15.75">
      <c r="K42" s="8" t="s">
        <v>86</v>
      </c>
    </row>
    <row r="43" spans="11:11" ht="15.75">
      <c r="K43" s="8" t="s">
        <v>83</v>
      </c>
    </row>
    <row r="44" spans="11:11" ht="15.75">
      <c r="K44" s="8"/>
    </row>
    <row r="45" spans="11:11" ht="15.75">
      <c r="K45" s="8" t="s">
        <v>84</v>
      </c>
    </row>
    <row r="46" spans="11:11" ht="15.75">
      <c r="K46" s="8" t="s">
        <v>88</v>
      </c>
    </row>
    <row r="47" spans="11:11" ht="15.75">
      <c r="K47" s="8" t="s">
        <v>99</v>
      </c>
    </row>
    <row r="48" spans="11:11" ht="15.75">
      <c r="K48" s="8" t="s">
        <v>100</v>
      </c>
    </row>
    <row r="50" spans="11:20" ht="15.75">
      <c r="K50" s="8" t="s">
        <v>94</v>
      </c>
    </row>
    <row r="51" spans="11:20" ht="15.75">
      <c r="K51" s="8" t="s">
        <v>95</v>
      </c>
    </row>
    <row r="52" spans="11:20" ht="15.75">
      <c r="K52" s="8"/>
    </row>
    <row r="53" spans="11:20" ht="15.75">
      <c r="K53" s="8">
        <v>-37</v>
      </c>
      <c r="L53" s="8" t="s">
        <v>89</v>
      </c>
      <c r="M53" s="8"/>
      <c r="N53" s="8" t="s">
        <v>92</v>
      </c>
      <c r="O53" s="8"/>
      <c r="P53" s="10">
        <f>10^(K53/20)</f>
        <v>1.4125375446227528E-2</v>
      </c>
      <c r="Q53" s="8" t="s">
        <v>93</v>
      </c>
      <c r="R53" s="11">
        <f>P53*1000</f>
        <v>14.125375446227528</v>
      </c>
      <c r="S53" s="8" t="s">
        <v>85</v>
      </c>
    </row>
    <row r="54" spans="11:20" ht="15.75">
      <c r="K54" s="8">
        <v>-64</v>
      </c>
      <c r="L54" s="8" t="s">
        <v>90</v>
      </c>
      <c r="M54" s="8"/>
      <c r="N54" s="8" t="s">
        <v>91</v>
      </c>
      <c r="O54" s="8"/>
      <c r="P54" s="10">
        <f>10^(K54/20)*10</f>
        <v>6.3095734448019242E-3</v>
      </c>
      <c r="Q54" s="8" t="s">
        <v>93</v>
      </c>
      <c r="R54" s="11">
        <f>P54*1000</f>
        <v>6.3095734448019245</v>
      </c>
      <c r="S54" s="8" t="s">
        <v>85</v>
      </c>
    </row>
    <row r="55" spans="11:20" ht="15.75">
      <c r="K55" s="8"/>
      <c r="L55" s="8"/>
      <c r="M55" s="8"/>
      <c r="N55" s="8"/>
      <c r="O55" s="8"/>
      <c r="P55" s="8"/>
      <c r="Q55" s="10"/>
      <c r="R55" s="8"/>
      <c r="S55" s="11"/>
      <c r="T55" s="8"/>
    </row>
    <row r="56" spans="11:20" ht="15.75">
      <c r="K56" s="8" t="s">
        <v>96</v>
      </c>
    </row>
    <row r="57" spans="11:20" ht="15.75">
      <c r="K57" s="8" t="s">
        <v>98</v>
      </c>
    </row>
    <row r="58" spans="11:20" ht="15.75">
      <c r="K58" s="8"/>
    </row>
    <row r="59" spans="11:20" ht="15.75">
      <c r="K59" s="8"/>
    </row>
    <row r="60" spans="11:20" ht="15.75">
      <c r="K60" s="8" t="s">
        <v>101</v>
      </c>
    </row>
    <row r="61" spans="11:20" ht="15.75">
      <c r="K61" s="8" t="s">
        <v>125</v>
      </c>
    </row>
    <row r="62" spans="11:20" ht="15.75">
      <c r="K62" s="8" t="s">
        <v>126</v>
      </c>
    </row>
    <row r="63" spans="11:20" ht="15.75">
      <c r="K63" s="8" t="s">
        <v>102</v>
      </c>
    </row>
    <row r="64" spans="11:20" ht="15.75">
      <c r="K64" s="8"/>
    </row>
    <row r="65" spans="11:20" ht="15.75">
      <c r="K65" s="8" t="s">
        <v>105</v>
      </c>
    </row>
    <row r="66" spans="11:20" ht="15.75">
      <c r="K66" s="8" t="s">
        <v>106</v>
      </c>
    </row>
    <row r="67" spans="11:20" ht="15.75">
      <c r="K67" s="8" t="s">
        <v>107</v>
      </c>
    </row>
    <row r="68" spans="11:20" ht="15.75">
      <c r="K68" s="8"/>
    </row>
    <row r="69" spans="11:20" ht="15.75">
      <c r="K69" s="8" t="s">
        <v>108</v>
      </c>
      <c r="S69" s="10">
        <f>SQRT(1^2+(1.35-1.1)^2)</f>
        <v>1.0307764064044151</v>
      </c>
      <c r="T69" s="8" t="s">
        <v>35</v>
      </c>
    </row>
    <row r="70" spans="11:20" ht="15.75">
      <c r="K70" s="8"/>
    </row>
    <row r="71" spans="11:20" ht="15.75">
      <c r="K71" s="8" t="s">
        <v>111</v>
      </c>
      <c r="Q71" s="8">
        <v>343</v>
      </c>
      <c r="R71" s="8" t="s">
        <v>112</v>
      </c>
    </row>
    <row r="73" spans="11:20" ht="15.75">
      <c r="K73" s="8" t="s">
        <v>109</v>
      </c>
    </row>
    <row r="74" spans="11:20" ht="15.75">
      <c r="K74" s="8"/>
    </row>
    <row r="75" spans="11:20" ht="15.75">
      <c r="K75" s="8" t="s">
        <v>110</v>
      </c>
      <c r="N75" s="10">
        <f>75/360</f>
        <v>0.20833333333333334</v>
      </c>
    </row>
    <row r="76" spans="11:20" ht="15.75">
      <c r="K76" s="8"/>
    </row>
    <row r="77" spans="11:20" ht="15.75">
      <c r="K77" s="8" t="s">
        <v>113</v>
      </c>
      <c r="Q77" s="10">
        <f>S69/Q71*726.4</f>
        <v>2.1829620455165224</v>
      </c>
    </row>
    <row r="78" spans="11:20" ht="15.75">
      <c r="K78" s="8"/>
    </row>
    <row r="79" spans="11:20" ht="15.75">
      <c r="K79" s="8" t="s">
        <v>114</v>
      </c>
    </row>
    <row r="80" spans="11:20" ht="15.75">
      <c r="K80" s="8"/>
    </row>
    <row r="81" spans="11:18" ht="15.75">
      <c r="K81" s="8" t="s">
        <v>116</v>
      </c>
      <c r="L81" s="8">
        <v>0.5</v>
      </c>
    </row>
    <row r="82" spans="11:18" ht="15.75">
      <c r="K82" s="8"/>
    </row>
    <row r="83" spans="11:18" ht="15.75">
      <c r="K83" s="8" t="s">
        <v>115</v>
      </c>
    </row>
    <row r="84" spans="11:18" ht="15.75">
      <c r="K84" s="8"/>
    </row>
    <row r="85" spans="11:18" ht="15.75">
      <c r="K85" s="8" t="s">
        <v>117</v>
      </c>
      <c r="N85" s="10">
        <f>+N75+Q77+L81</f>
        <v>2.8912953788498559</v>
      </c>
    </row>
    <row r="86" spans="11:18" ht="15.75">
      <c r="K86" s="8"/>
    </row>
    <row r="87" spans="11:18" ht="15.75">
      <c r="K87" s="8" t="s">
        <v>118</v>
      </c>
    </row>
    <row r="88" spans="11:18" ht="15.75">
      <c r="K88" s="8"/>
    </row>
    <row r="89" spans="11:18" ht="15.75">
      <c r="K89" s="8" t="s">
        <v>124</v>
      </c>
      <c r="M89" s="10">
        <f>N85-INT(N85)</f>
        <v>0.89129537884985588</v>
      </c>
    </row>
    <row r="90" spans="11:18" ht="15.75">
      <c r="K90" s="8"/>
    </row>
    <row r="91" spans="11:18" ht="15.75">
      <c r="K91" s="8" t="s">
        <v>119</v>
      </c>
      <c r="Q91" s="11">
        <f>M89*360</f>
        <v>320.8663363859481</v>
      </c>
      <c r="R91" t="s">
        <v>120</v>
      </c>
    </row>
    <row r="92" spans="11:18" ht="15.75">
      <c r="K92" s="8"/>
    </row>
    <row r="93" spans="11:18" ht="15.75">
      <c r="K93" s="8" t="s">
        <v>121</v>
      </c>
    </row>
    <row r="94" spans="11:18" ht="15.75">
      <c r="K94" s="8" t="s">
        <v>122</v>
      </c>
    </row>
    <row r="95" spans="11:18" ht="15.75">
      <c r="K95" s="8"/>
    </row>
    <row r="96" spans="11:18" ht="15.75">
      <c r="K96" s="8" t="s">
        <v>123</v>
      </c>
      <c r="N96" s="11">
        <f>+Q91-360</f>
        <v>-39.133663614051898</v>
      </c>
      <c r="O96" t="s">
        <v>120</v>
      </c>
    </row>
    <row r="97" spans="11:11" ht="15.75">
      <c r="K97" s="8"/>
    </row>
    <row r="98" spans="11:11" ht="15.75">
      <c r="K98" s="8" t="s">
        <v>127</v>
      </c>
    </row>
    <row r="99" spans="11:11" ht="15.75">
      <c r="K99" s="8" t="s">
        <v>128</v>
      </c>
    </row>
    <row r="100" spans="11:11" ht="15.75">
      <c r="K100" s="8" t="s">
        <v>129</v>
      </c>
    </row>
    <row r="101" spans="11:11" ht="15.75">
      <c r="K101" s="8"/>
    </row>
    <row r="102" spans="11:11" ht="15.75">
      <c r="K102" s="8" t="s">
        <v>130</v>
      </c>
    </row>
    <row r="103" spans="11:11" ht="15.75">
      <c r="K103" s="8" t="s">
        <v>131</v>
      </c>
    </row>
    <row r="104" spans="11:11" ht="15.75">
      <c r="K104" s="8" t="s">
        <v>132</v>
      </c>
    </row>
    <row r="105" spans="11:11" ht="15.75">
      <c r="K105" s="8" t="s">
        <v>133</v>
      </c>
    </row>
    <row r="106" spans="11:11" ht="15.75">
      <c r="K106" s="8"/>
    </row>
    <row r="107" spans="11:11" ht="15.75">
      <c r="K107" s="12" t="s">
        <v>134</v>
      </c>
    </row>
    <row r="108" spans="11:11" ht="15.75">
      <c r="K108" s="8" t="s">
        <v>135</v>
      </c>
    </row>
    <row r="110" spans="11:11" ht="15.75">
      <c r="K110" s="8" t="s">
        <v>137</v>
      </c>
    </row>
    <row r="111" spans="11:11" ht="15.75">
      <c r="K111" s="8" t="s">
        <v>138</v>
      </c>
    </row>
    <row r="112" spans="11:11" ht="15.75">
      <c r="K112" s="8" t="s">
        <v>139</v>
      </c>
    </row>
    <row r="113" spans="11:11" ht="15.75">
      <c r="K113" s="8"/>
    </row>
    <row r="114" spans="11:11" ht="15.75">
      <c r="K114" s="8" t="s">
        <v>136</v>
      </c>
    </row>
    <row r="115" spans="11:11" ht="15.75">
      <c r="K115" s="8" t="s">
        <v>143</v>
      </c>
    </row>
    <row r="116" spans="11:11" ht="15.75">
      <c r="K116" s="8"/>
    </row>
    <row r="117" spans="11:11" ht="15.75">
      <c r="K117" s="8" t="s">
        <v>140</v>
      </c>
    </row>
    <row r="118" spans="11:11" ht="15.75">
      <c r="K118" s="8" t="s">
        <v>141</v>
      </c>
    </row>
    <row r="119" spans="11:11" ht="15.75">
      <c r="K119" s="8" t="s">
        <v>142</v>
      </c>
    </row>
    <row r="120" spans="11:11" ht="15.75">
      <c r="K120" s="8"/>
    </row>
    <row r="121" spans="11:11" ht="15.75">
      <c r="K121" s="8"/>
    </row>
    <row r="122" spans="11:11" ht="15.75">
      <c r="K122" s="8"/>
    </row>
    <row r="123" spans="11:11" ht="15.75">
      <c r="K123" s="8"/>
    </row>
    <row r="124" spans="11:11" ht="15.75">
      <c r="K124" s="8"/>
    </row>
    <row r="125" spans="11:11" ht="15.75">
      <c r="K125" s="8"/>
    </row>
    <row r="126" spans="11:11" ht="15.75">
      <c r="K126" s="8"/>
    </row>
    <row r="127" spans="11:11" ht="15.75">
      <c r="K127" s="8"/>
    </row>
    <row r="128" spans="11:11" ht="15.75">
      <c r="K128" s="8"/>
    </row>
    <row r="129" spans="11:11" ht="15.75">
      <c r="K129" s="8"/>
    </row>
    <row r="130" spans="11:11" ht="15.75">
      <c r="K130" s="8"/>
    </row>
    <row r="131" spans="11:11" ht="15.75">
      <c r="K131" s="8"/>
    </row>
    <row r="132" spans="11:11" ht="15.75">
      <c r="K132" s="8"/>
    </row>
    <row r="133" spans="11:11" ht="15.75">
      <c r="K133" s="8"/>
    </row>
    <row r="134" spans="11:11" ht="15.75">
      <c r="K134" s="8"/>
    </row>
    <row r="135" spans="11:11" ht="15.75">
      <c r="K135" s="8"/>
    </row>
    <row r="136" spans="11:11" ht="15.75">
      <c r="K136" s="8"/>
    </row>
    <row r="137" spans="11:11" ht="15.75">
      <c r="K137" s="8"/>
    </row>
    <row r="138" spans="11:11" ht="15.75">
      <c r="K138" s="8"/>
    </row>
    <row r="139" spans="11:11" ht="15.75">
      <c r="K139" s="8"/>
    </row>
    <row r="140" spans="11:11" ht="15.75">
      <c r="K140" s="8"/>
    </row>
    <row r="141" spans="11:11" ht="15.75">
      <c r="K141" s="8"/>
    </row>
    <row r="142" spans="11:11" ht="15.75">
      <c r="K142" s="8"/>
    </row>
    <row r="143" spans="11:11" ht="15.75">
      <c r="K143" s="8"/>
    </row>
    <row r="144" spans="11:11" ht="15.75">
      <c r="K144" s="8"/>
    </row>
    <row r="145" spans="11:11" ht="15.75">
      <c r="K145" s="8"/>
    </row>
    <row r="146" spans="11:11" ht="15.75">
      <c r="K146" s="8"/>
    </row>
    <row r="147" spans="11:11" ht="15.75">
      <c r="K147" s="8"/>
    </row>
    <row r="148" spans="11:11" ht="15.75">
      <c r="K148" s="8"/>
    </row>
    <row r="149" spans="11:11" ht="15.75">
      <c r="K149" s="8"/>
    </row>
    <row r="150" spans="11:11" ht="15.75">
      <c r="K150" s="8"/>
    </row>
    <row r="151" spans="11:11" ht="15.75">
      <c r="K151" s="8"/>
    </row>
    <row r="152" spans="11:11" ht="15.75">
      <c r="K152" s="8"/>
    </row>
    <row r="153" spans="11:11" ht="15.75">
      <c r="K153" s="8"/>
    </row>
    <row r="154" spans="11:11" ht="15.75">
      <c r="K154" s="8"/>
    </row>
    <row r="155" spans="11:11" ht="15.75">
      <c r="K155" s="8"/>
    </row>
    <row r="156" spans="11:11" ht="15.75">
      <c r="K156" s="8"/>
    </row>
    <row r="157" spans="11:11" ht="15.75">
      <c r="K157" s="8"/>
    </row>
    <row r="158" spans="11:11" ht="15.75">
      <c r="K158" s="8"/>
    </row>
    <row r="159" spans="11:11" ht="15.75">
      <c r="K159" s="8"/>
    </row>
    <row r="160" spans="11:11" ht="15.75">
      <c r="K160" s="8"/>
    </row>
    <row r="161" spans="11:11" ht="15.75">
      <c r="K161" s="8"/>
    </row>
    <row r="162" spans="11:11" ht="15.75">
      <c r="K162" s="8"/>
    </row>
    <row r="163" spans="11:11" ht="15.75">
      <c r="K163" s="8"/>
    </row>
    <row r="164" spans="11:11" ht="15.75">
      <c r="K164" s="8"/>
    </row>
    <row r="165" spans="11:11" ht="15.75">
      <c r="K165" s="8"/>
    </row>
    <row r="166" spans="11:11" ht="15.75">
      <c r="K166" s="8"/>
    </row>
    <row r="167" spans="11:11" ht="15.75">
      <c r="K167" s="8"/>
    </row>
    <row r="168" spans="11:11" ht="15.75">
      <c r="K168" s="8"/>
    </row>
    <row r="169" spans="11:11" ht="15.75">
      <c r="K169" s="8"/>
    </row>
    <row r="170" spans="11:11" ht="15.75">
      <c r="K170" s="8"/>
    </row>
    <row r="171" spans="11:11" ht="15.75">
      <c r="K171" s="8"/>
    </row>
    <row r="172" spans="11:11" ht="15.75">
      <c r="K172" s="8"/>
    </row>
    <row r="173" spans="11:11" ht="15.75">
      <c r="K173" s="8"/>
    </row>
    <row r="174" spans="11:11" ht="15.75">
      <c r="K174" s="8"/>
    </row>
    <row r="175" spans="11:11" ht="15.75">
      <c r="K175" s="8"/>
    </row>
    <row r="176" spans="11:11" ht="15.75">
      <c r="K176" s="8"/>
    </row>
    <row r="177" spans="11:11" ht="15.75">
      <c r="K177" s="8"/>
    </row>
    <row r="178" spans="11:11" ht="15.75">
      <c r="K178" s="8"/>
    </row>
    <row r="179" spans="11:11" ht="15.75">
      <c r="K179" s="8"/>
    </row>
    <row r="180" spans="11:11" ht="15.75">
      <c r="K180" s="8"/>
    </row>
    <row r="181" spans="11:11" ht="15.75">
      <c r="K181" s="8"/>
    </row>
    <row r="182" spans="11:11" ht="15.75">
      <c r="K182" s="8"/>
    </row>
    <row r="183" spans="11:11" ht="15.75">
      <c r="K183" s="8"/>
    </row>
    <row r="184" spans="11:11" ht="15.75">
      <c r="K184" s="8"/>
    </row>
    <row r="185" spans="11:11" ht="15.75">
      <c r="K185" s="8"/>
    </row>
    <row r="186" spans="11:11" ht="15.75">
      <c r="K186" s="8"/>
    </row>
    <row r="187" spans="11:11" ht="15.75">
      <c r="K187" s="8"/>
    </row>
    <row r="188" spans="11:11" ht="15.75">
      <c r="K188" s="8"/>
    </row>
    <row r="189" spans="11:11" ht="15.75">
      <c r="K189" s="8"/>
    </row>
    <row r="190" spans="11:11" ht="15.75">
      <c r="K190" s="8"/>
    </row>
    <row r="191" spans="11:11" ht="15.75">
      <c r="K191" s="8"/>
    </row>
    <row r="192" spans="11:11" ht="15.75">
      <c r="K192" s="8"/>
    </row>
    <row r="193" spans="11:11" ht="15.75">
      <c r="K193" s="8"/>
    </row>
    <row r="194" spans="11:11" ht="15.75">
      <c r="K194" s="8"/>
    </row>
    <row r="195" spans="11:11" ht="15.75">
      <c r="K195" s="8"/>
    </row>
    <row r="196" spans="11:11" ht="15.75">
      <c r="K196" s="8"/>
    </row>
    <row r="197" spans="11:11" ht="15.75">
      <c r="K197" s="8"/>
    </row>
    <row r="198" spans="11:11" ht="15.75">
      <c r="K198" s="8"/>
    </row>
    <row r="199" spans="11:11" ht="15.75">
      <c r="K199" s="8"/>
    </row>
    <row r="200" spans="11:11" ht="15.75">
      <c r="K200" s="8"/>
    </row>
    <row r="201" spans="11:11" ht="15.75">
      <c r="K201" s="8"/>
    </row>
    <row r="202" spans="11:11" ht="15.75">
      <c r="K202" s="8"/>
    </row>
    <row r="203" spans="11:11" ht="15.75">
      <c r="K203" s="8"/>
    </row>
    <row r="204" spans="11:11" ht="15.75">
      <c r="K204" s="8"/>
    </row>
    <row r="205" spans="11:11" ht="15.75">
      <c r="K205" s="8"/>
    </row>
    <row r="206" spans="11:11" ht="15.75">
      <c r="K206" s="8"/>
    </row>
    <row r="207" spans="11:11" ht="15.75">
      <c r="K207" s="8"/>
    </row>
    <row r="208" spans="11:11" ht="15.75">
      <c r="K208" s="8"/>
    </row>
    <row r="209" spans="11:11" ht="15.75">
      <c r="K209" s="8"/>
    </row>
    <row r="210" spans="11:11" ht="15.75">
      <c r="K210" s="8"/>
    </row>
    <row r="211" spans="11:11" ht="15.75">
      <c r="K211" s="8"/>
    </row>
    <row r="212" spans="11:11" ht="15.75">
      <c r="K212" s="8"/>
    </row>
    <row r="213" spans="11:11" ht="15.75">
      <c r="K213" s="8"/>
    </row>
    <row r="214" spans="11:11" ht="15.75">
      <c r="K214" s="8"/>
    </row>
    <row r="215" spans="11:11" ht="15.75">
      <c r="K215" s="8"/>
    </row>
    <row r="216" spans="11:11" ht="15.75">
      <c r="K216" s="8"/>
    </row>
    <row r="217" spans="11:11" ht="15.75">
      <c r="K217" s="8"/>
    </row>
    <row r="218" spans="11:11" ht="15.75">
      <c r="K218" s="8"/>
    </row>
    <row r="219" spans="11:11" ht="15.75">
      <c r="K219" s="8"/>
    </row>
    <row r="220" spans="11:11" ht="15.75">
      <c r="K220" s="8"/>
    </row>
    <row r="221" spans="11:11" ht="15.75">
      <c r="K221" s="8"/>
    </row>
    <row r="222" spans="11:11" ht="15.75">
      <c r="K222" s="8"/>
    </row>
    <row r="223" spans="11:11" ht="15.75">
      <c r="K223" s="8"/>
    </row>
    <row r="224" spans="11:11" ht="15.75">
      <c r="K224" s="8"/>
    </row>
    <row r="225" spans="11:11" ht="15.75">
      <c r="K225" s="8"/>
    </row>
    <row r="226" spans="11:11" ht="15.75">
      <c r="K226" s="8"/>
    </row>
    <row r="227" spans="11:11" ht="15.75">
      <c r="K227" s="8"/>
    </row>
    <row r="228" spans="11:11" ht="15.75">
      <c r="K228" s="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74"/>
  <sheetViews>
    <sheetView zoomScaleNormal="100" workbookViewId="0">
      <selection activeCell="A16" sqref="A16"/>
    </sheetView>
  </sheetViews>
  <sheetFormatPr baseColWidth="10" defaultRowHeight="15"/>
  <sheetData>
    <row r="1" spans="3:28">
      <c r="N1" t="s">
        <v>9</v>
      </c>
      <c r="O1" t="s">
        <v>24</v>
      </c>
      <c r="P1">
        <v>0.125</v>
      </c>
      <c r="Q1">
        <v>0.125</v>
      </c>
      <c r="R1">
        <v>0.125</v>
      </c>
      <c r="T1" t="s">
        <v>33</v>
      </c>
      <c r="U1" t="s">
        <v>35</v>
      </c>
      <c r="V1">
        <v>1.1000000000000001</v>
      </c>
      <c r="W1">
        <v>1.1000000000000001</v>
      </c>
      <c r="X1">
        <v>1.1000000000000001</v>
      </c>
    </row>
    <row r="2" spans="3:28">
      <c r="N2" t="s">
        <v>11</v>
      </c>
      <c r="O2" t="s">
        <v>10</v>
      </c>
      <c r="P2">
        <f t="shared" ref="P2:Q2" si="0">+P1*23</f>
        <v>2.875</v>
      </c>
      <c r="Q2">
        <f t="shared" si="0"/>
        <v>2.875</v>
      </c>
      <c r="R2">
        <f>+R1*23</f>
        <v>2.875</v>
      </c>
      <c r="T2" t="s">
        <v>32</v>
      </c>
      <c r="U2" t="s">
        <v>35</v>
      </c>
      <c r="V2">
        <v>1.35</v>
      </c>
      <c r="W2">
        <v>1.35</v>
      </c>
      <c r="X2">
        <v>1.35</v>
      </c>
    </row>
    <row r="3" spans="3:28">
      <c r="N3" t="s">
        <v>12</v>
      </c>
      <c r="O3" t="s">
        <v>10</v>
      </c>
      <c r="P3" s="2">
        <f t="shared" ref="P3:Q3" si="1">2^0.5*2</f>
        <v>2.8284271247461903</v>
      </c>
      <c r="Q3" s="2">
        <f t="shared" si="1"/>
        <v>2.8284271247461903</v>
      </c>
      <c r="R3" s="2">
        <f>2^0.5*2</f>
        <v>2.8284271247461903</v>
      </c>
      <c r="T3" t="s">
        <v>34</v>
      </c>
      <c r="U3" t="s">
        <v>35</v>
      </c>
      <c r="V3">
        <v>1</v>
      </c>
      <c r="W3">
        <v>1</v>
      </c>
      <c r="X3">
        <v>1</v>
      </c>
    </row>
    <row r="4" spans="3:28">
      <c r="N4" t="s">
        <v>13</v>
      </c>
      <c r="O4" t="s">
        <v>14</v>
      </c>
      <c r="P4" s="3">
        <f t="shared" ref="P4:Q4" si="2">20*LOG(P3/P2)</f>
        <v>-0.14185711059354938</v>
      </c>
      <c r="Q4" s="3">
        <f t="shared" si="2"/>
        <v>-0.14185711059354938</v>
      </c>
      <c r="R4" s="3">
        <f>20*LOG(R3/R2)</f>
        <v>-0.14185711059354938</v>
      </c>
      <c r="T4" t="s">
        <v>36</v>
      </c>
      <c r="U4" t="s">
        <v>35</v>
      </c>
      <c r="V4" s="4">
        <f>((V1-V2)^2+V3^2)^0.5</f>
        <v>1.0307764064044151</v>
      </c>
      <c r="W4" s="4">
        <f>((W1-W2)^2+W3^2)^0.5</f>
        <v>1.0307764064044151</v>
      </c>
      <c r="X4" s="4">
        <f>((X1-X2)^2+X3^2)^0.5</f>
        <v>1.0307764064044151</v>
      </c>
    </row>
    <row r="5" spans="3:28">
      <c r="T5" t="s">
        <v>38</v>
      </c>
      <c r="U5" t="s">
        <v>37</v>
      </c>
      <c r="V5">
        <v>343</v>
      </c>
      <c r="W5">
        <v>343</v>
      </c>
      <c r="X5">
        <v>343</v>
      </c>
    </row>
    <row r="6" spans="3:28">
      <c r="N6" t="s">
        <v>15</v>
      </c>
      <c r="O6" t="s">
        <v>14</v>
      </c>
      <c r="P6" s="1">
        <f t="shared" ref="P6:Q6" si="3">20*LOG(202)</f>
        <v>46.10702738893248</v>
      </c>
      <c r="Q6" s="1">
        <f t="shared" si="3"/>
        <v>46.10702738893248</v>
      </c>
      <c r="R6" s="1">
        <f>20*LOG(202)</f>
        <v>46.10702738893248</v>
      </c>
      <c r="T6" t="s">
        <v>39</v>
      </c>
      <c r="V6">
        <v>1</v>
      </c>
      <c r="W6">
        <v>1</v>
      </c>
      <c r="X6">
        <v>1</v>
      </c>
    </row>
    <row r="7" spans="3:28">
      <c r="N7" t="s">
        <v>16</v>
      </c>
      <c r="O7" t="s">
        <v>14</v>
      </c>
      <c r="P7">
        <v>-10</v>
      </c>
      <c r="Q7">
        <v>-12</v>
      </c>
      <c r="R7">
        <f>-14-2</f>
        <v>-16</v>
      </c>
    </row>
    <row r="8" spans="3:28">
      <c r="N8" t="s">
        <v>17</v>
      </c>
      <c r="O8" t="s">
        <v>14</v>
      </c>
      <c r="P8" s="1">
        <f t="shared" ref="P8:Q8" si="4">+P6+P7</f>
        <v>36.10702738893248</v>
      </c>
      <c r="Q8" s="1">
        <f t="shared" si="4"/>
        <v>34.10702738893248</v>
      </c>
      <c r="R8" s="1">
        <f>+R6+R7</f>
        <v>30.10702738893248</v>
      </c>
    </row>
    <row r="9" spans="3:28">
      <c r="N9" t="s">
        <v>18</v>
      </c>
      <c r="O9" t="s">
        <v>19</v>
      </c>
      <c r="P9" s="1">
        <f t="shared" ref="P9:Q9" si="5">10^(P8/20)</f>
        <v>63.878008735401302</v>
      </c>
      <c r="Q9" s="1">
        <f t="shared" si="5"/>
        <v>50.740105916493576</v>
      </c>
      <c r="R9" s="1">
        <f>10^(R8/20)</f>
        <v>32.014842487714517</v>
      </c>
    </row>
    <row r="10" spans="3:28">
      <c r="N10" t="s">
        <v>21</v>
      </c>
      <c r="O10" t="s">
        <v>22</v>
      </c>
      <c r="P10">
        <v>1.4200000000000001E-2</v>
      </c>
      <c r="Q10">
        <v>1.4200000000000001E-2</v>
      </c>
      <c r="R10">
        <v>1.4200000000000001E-2</v>
      </c>
    </row>
    <row r="11" spans="3:28">
      <c r="O11" t="s">
        <v>20</v>
      </c>
      <c r="P11">
        <v>9</v>
      </c>
      <c r="Q11">
        <v>9</v>
      </c>
      <c r="R11">
        <v>9</v>
      </c>
    </row>
    <row r="12" spans="3:28">
      <c r="O12" t="s">
        <v>23</v>
      </c>
      <c r="P12" s="2">
        <f>1/(P11/P1*P9*P10)</f>
        <v>1.5311854364068513E-2</v>
      </c>
      <c r="Q12" s="2">
        <f t="shared" ref="Q12" si="6">1/(Q11/Q1*Q9*Q10)</f>
        <v>1.9276482560617262E-2</v>
      </c>
      <c r="R12" s="2">
        <f>1/(R11/R1*R9*R10)</f>
        <v>3.055116598491768E-2</v>
      </c>
    </row>
    <row r="13" spans="3:28">
      <c r="N13" t="s">
        <v>28</v>
      </c>
      <c r="P13" t="s">
        <v>44</v>
      </c>
      <c r="Q13" t="s">
        <v>45</v>
      </c>
      <c r="R13" t="s">
        <v>31</v>
      </c>
    </row>
    <row r="14" spans="3:28">
      <c r="N14" t="s">
        <v>29</v>
      </c>
      <c r="O14" t="s">
        <v>30</v>
      </c>
      <c r="P14">
        <v>138.97</v>
      </c>
      <c r="Q14">
        <v>961.76099999999997</v>
      </c>
      <c r="R14">
        <v>276.41800000000001</v>
      </c>
    </row>
    <row r="16" spans="3:28">
      <c r="C16" t="s">
        <v>97</v>
      </c>
      <c r="D16" t="s">
        <v>0</v>
      </c>
      <c r="E16" t="s">
        <v>97</v>
      </c>
      <c r="F16" t="s">
        <v>0</v>
      </c>
      <c r="G16" t="s">
        <v>97</v>
      </c>
      <c r="H16" t="s">
        <v>0</v>
      </c>
      <c r="I16" t="s">
        <v>3</v>
      </c>
      <c r="J16" t="s">
        <v>0</v>
      </c>
      <c r="N16" t="s">
        <v>1</v>
      </c>
      <c r="O16" t="s">
        <v>2</v>
      </c>
      <c r="P16" t="s">
        <v>3</v>
      </c>
      <c r="Q16" t="s">
        <v>3</v>
      </c>
      <c r="R16" t="s">
        <v>3</v>
      </c>
      <c r="V16" t="s">
        <v>0</v>
      </c>
      <c r="W16" t="s">
        <v>0</v>
      </c>
      <c r="X16" t="s">
        <v>0</v>
      </c>
      <c r="Z16" s="5"/>
      <c r="AB16" s="5"/>
    </row>
    <row r="17" spans="1:24">
      <c r="B17" t="s">
        <v>4</v>
      </c>
      <c r="C17" s="6" t="s">
        <v>43</v>
      </c>
      <c r="D17" t="str">
        <f>+C17</f>
        <v>W200S-4 (1)</v>
      </c>
      <c r="E17" s="6" t="s">
        <v>42</v>
      </c>
      <c r="F17" t="str">
        <f>+E17</f>
        <v>W200S-4 (2)</v>
      </c>
      <c r="G17" s="6" t="s">
        <v>40</v>
      </c>
      <c r="H17" t="str">
        <f>+G17</f>
        <v>W200S-4 (3)</v>
      </c>
      <c r="I17" s="6" t="s">
        <v>41</v>
      </c>
      <c r="J17" t="str">
        <f>+I17</f>
        <v>W200S-4 soll</v>
      </c>
      <c r="P17" t="str">
        <f>+C17</f>
        <v>W200S-4 (1)</v>
      </c>
      <c r="Q17" t="str">
        <f>+E17</f>
        <v>W200S-4 (2)</v>
      </c>
      <c r="R17" t="str">
        <f>+G17</f>
        <v>W200S-4 (3)</v>
      </c>
      <c r="V17" t="str">
        <f>+C17</f>
        <v>W200S-4 (1)</v>
      </c>
      <c r="W17" t="str">
        <f>+E17</f>
        <v>W200S-4 (2)</v>
      </c>
      <c r="X17" t="str">
        <f>+G17</f>
        <v>W200S-4 (3)</v>
      </c>
    </row>
    <row r="18" spans="1:24">
      <c r="A18">
        <v>138.97</v>
      </c>
      <c r="B18">
        <v>20</v>
      </c>
      <c r="I18">
        <v>67.22</v>
      </c>
      <c r="J18">
        <v>-162</v>
      </c>
      <c r="N18" s="1"/>
      <c r="O18" s="1">
        <v>0</v>
      </c>
    </row>
    <row r="19" spans="1:24">
      <c r="A19">
        <f>+A18+0.5</f>
        <v>139.47</v>
      </c>
      <c r="B19">
        <v>20.5</v>
      </c>
      <c r="I19">
        <v>67.858000000000004</v>
      </c>
      <c r="J19">
        <v>-163.19999999999999</v>
      </c>
      <c r="N19" s="1"/>
      <c r="O19" s="1">
        <v>0</v>
      </c>
    </row>
    <row r="20" spans="1:24">
      <c r="A20">
        <f t="shared" ref="A20:A83" si="7">+A19+0.5</f>
        <v>139.97</v>
      </c>
      <c r="B20">
        <v>21.1</v>
      </c>
      <c r="I20">
        <v>68.498999999999995</v>
      </c>
      <c r="J20">
        <v>-164.5</v>
      </c>
      <c r="N20" s="1"/>
      <c r="O20" s="1">
        <v>0</v>
      </c>
    </row>
    <row r="21" spans="1:24">
      <c r="A21">
        <f t="shared" si="7"/>
        <v>140.47</v>
      </c>
      <c r="B21">
        <v>21.6</v>
      </c>
      <c r="I21">
        <v>69.143000000000001</v>
      </c>
      <c r="J21">
        <v>-165.8</v>
      </c>
      <c r="N21" s="1"/>
      <c r="O21" s="1">
        <v>0</v>
      </c>
    </row>
    <row r="22" spans="1:24">
      <c r="A22">
        <f t="shared" si="7"/>
        <v>140.97</v>
      </c>
      <c r="B22">
        <v>22.2</v>
      </c>
      <c r="I22">
        <v>69.787999999999997</v>
      </c>
      <c r="J22">
        <v>-167.2</v>
      </c>
      <c r="N22" s="1"/>
      <c r="O22" s="1">
        <v>0</v>
      </c>
    </row>
    <row r="23" spans="1:24">
      <c r="A23">
        <f t="shared" si="7"/>
        <v>141.47</v>
      </c>
      <c r="B23">
        <v>22.9</v>
      </c>
      <c r="I23">
        <v>70.436999999999998</v>
      </c>
      <c r="J23">
        <v>-168.7</v>
      </c>
      <c r="N23" s="1"/>
      <c r="O23" s="1">
        <v>0</v>
      </c>
    </row>
    <row r="24" spans="1:24">
      <c r="A24">
        <f t="shared" si="7"/>
        <v>141.97</v>
      </c>
      <c r="B24">
        <v>23.5</v>
      </c>
      <c r="I24">
        <v>71.087999999999994</v>
      </c>
      <c r="J24">
        <v>-170.2</v>
      </c>
      <c r="N24" s="1"/>
      <c r="O24" s="1">
        <v>0</v>
      </c>
    </row>
    <row r="25" spans="1:24">
      <c r="A25">
        <f t="shared" si="7"/>
        <v>142.47</v>
      </c>
      <c r="B25">
        <v>24.1</v>
      </c>
      <c r="I25">
        <v>71.742000000000004</v>
      </c>
      <c r="J25">
        <v>-171.7</v>
      </c>
      <c r="N25" s="1"/>
      <c r="O25" s="1">
        <v>0</v>
      </c>
    </row>
    <row r="26" spans="1:24">
      <c r="A26">
        <f t="shared" si="7"/>
        <v>142.97</v>
      </c>
      <c r="B26">
        <v>24.8</v>
      </c>
      <c r="I26">
        <v>72.397999999999996</v>
      </c>
      <c r="J26">
        <v>-173.4</v>
      </c>
      <c r="N26" s="1"/>
      <c r="O26" s="1">
        <v>0</v>
      </c>
    </row>
    <row r="27" spans="1:24">
      <c r="A27">
        <f t="shared" si="7"/>
        <v>143.47</v>
      </c>
      <c r="B27">
        <v>25.5</v>
      </c>
      <c r="I27">
        <v>73.055999999999997</v>
      </c>
      <c r="J27">
        <v>-175.1</v>
      </c>
      <c r="N27" s="1"/>
      <c r="O27" s="1">
        <v>0</v>
      </c>
    </row>
    <row r="28" spans="1:24">
      <c r="A28">
        <f t="shared" si="7"/>
        <v>143.97</v>
      </c>
      <c r="B28">
        <v>26.2</v>
      </c>
      <c r="I28">
        <v>73.715999999999994</v>
      </c>
      <c r="J28">
        <v>-176.9</v>
      </c>
      <c r="N28" s="1"/>
      <c r="O28" s="1">
        <v>0</v>
      </c>
    </row>
    <row r="29" spans="1:24">
      <c r="A29">
        <f t="shared" si="7"/>
        <v>144.47</v>
      </c>
      <c r="B29">
        <v>26.9</v>
      </c>
      <c r="I29">
        <v>74.376999999999995</v>
      </c>
      <c r="J29">
        <v>-178.8</v>
      </c>
      <c r="N29" s="1"/>
      <c r="O29" s="1">
        <v>0</v>
      </c>
    </row>
    <row r="30" spans="1:24">
      <c r="A30">
        <f t="shared" si="7"/>
        <v>144.97</v>
      </c>
      <c r="B30">
        <v>27.6</v>
      </c>
      <c r="I30">
        <v>75.039000000000001</v>
      </c>
      <c r="J30">
        <v>179.18</v>
      </c>
      <c r="N30" s="1"/>
      <c r="O30" s="1">
        <v>0</v>
      </c>
    </row>
    <row r="31" spans="1:24">
      <c r="A31">
        <f t="shared" si="7"/>
        <v>145.47</v>
      </c>
      <c r="B31">
        <v>28.4</v>
      </c>
      <c r="I31">
        <v>75.700999999999993</v>
      </c>
      <c r="J31">
        <v>177.05</v>
      </c>
      <c r="N31" s="1"/>
      <c r="O31" s="1">
        <v>0</v>
      </c>
    </row>
    <row r="32" spans="1:24">
      <c r="A32">
        <f t="shared" si="7"/>
        <v>145.97</v>
      </c>
      <c r="B32">
        <v>29.2</v>
      </c>
      <c r="I32">
        <v>76.361999999999995</v>
      </c>
      <c r="J32">
        <v>174.8</v>
      </c>
      <c r="N32" s="1"/>
      <c r="O32" s="1">
        <v>0</v>
      </c>
    </row>
    <row r="33" spans="1:15">
      <c r="A33">
        <f t="shared" si="7"/>
        <v>146.47</v>
      </c>
      <c r="B33">
        <v>30</v>
      </c>
      <c r="I33">
        <v>77.02</v>
      </c>
      <c r="J33">
        <v>172.42</v>
      </c>
      <c r="N33" s="1"/>
      <c r="O33" s="1">
        <v>0</v>
      </c>
    </row>
    <row r="34" spans="1:15">
      <c r="A34">
        <f t="shared" si="7"/>
        <v>146.97</v>
      </c>
      <c r="B34">
        <v>30.8</v>
      </c>
      <c r="I34">
        <v>77.674000000000007</v>
      </c>
      <c r="J34">
        <v>169.9</v>
      </c>
      <c r="N34" s="1"/>
      <c r="O34" s="1">
        <v>0</v>
      </c>
    </row>
    <row r="35" spans="1:15">
      <c r="A35">
        <f t="shared" si="7"/>
        <v>147.47</v>
      </c>
      <c r="B35">
        <v>31.6</v>
      </c>
      <c r="I35">
        <v>78.322000000000003</v>
      </c>
      <c r="J35">
        <v>167.22</v>
      </c>
      <c r="N35" s="1"/>
      <c r="O35" s="1">
        <v>0</v>
      </c>
    </row>
    <row r="36" spans="1:15">
      <c r="A36">
        <f t="shared" si="7"/>
        <v>147.97</v>
      </c>
      <c r="B36">
        <v>32.5</v>
      </c>
      <c r="I36">
        <v>78.962000000000003</v>
      </c>
      <c r="J36">
        <v>164.39</v>
      </c>
      <c r="N36" s="1"/>
      <c r="O36" s="1">
        <v>0</v>
      </c>
    </row>
    <row r="37" spans="1:15">
      <c r="A37">
        <f t="shared" si="7"/>
        <v>148.47</v>
      </c>
      <c r="B37">
        <v>33.4</v>
      </c>
      <c r="I37">
        <v>79.590999999999994</v>
      </c>
      <c r="J37">
        <v>161.4</v>
      </c>
      <c r="N37" s="1"/>
      <c r="O37" s="1">
        <v>0</v>
      </c>
    </row>
    <row r="38" spans="1:15">
      <c r="A38">
        <f t="shared" si="7"/>
        <v>148.97</v>
      </c>
      <c r="B38">
        <v>34.299999999999997</v>
      </c>
      <c r="I38">
        <v>80.206000000000003</v>
      </c>
      <c r="J38">
        <v>158.24</v>
      </c>
      <c r="N38" s="1"/>
      <c r="O38" s="1">
        <v>0</v>
      </c>
    </row>
    <row r="39" spans="1:15">
      <c r="A39">
        <f t="shared" si="7"/>
        <v>149.47</v>
      </c>
      <c r="B39">
        <v>35.200000000000003</v>
      </c>
      <c r="I39">
        <v>80.804000000000002</v>
      </c>
      <c r="J39">
        <v>154.91</v>
      </c>
      <c r="N39" s="1"/>
      <c r="O39" s="1">
        <v>0</v>
      </c>
    </row>
    <row r="40" spans="1:15">
      <c r="A40">
        <f t="shared" si="7"/>
        <v>149.97</v>
      </c>
      <c r="B40">
        <v>36.200000000000003</v>
      </c>
      <c r="I40">
        <v>81.381</v>
      </c>
      <c r="J40">
        <v>151.41999999999999</v>
      </c>
      <c r="N40" s="1"/>
      <c r="O40" s="1">
        <v>0</v>
      </c>
    </row>
    <row r="41" spans="1:15">
      <c r="A41">
        <f t="shared" si="7"/>
        <v>150.47</v>
      </c>
      <c r="B41">
        <v>37.200000000000003</v>
      </c>
      <c r="I41">
        <v>81.933000000000007</v>
      </c>
      <c r="J41">
        <v>147.77000000000001</v>
      </c>
      <c r="N41" s="1"/>
      <c r="O41" s="1">
        <v>0</v>
      </c>
    </row>
    <row r="42" spans="1:15">
      <c r="A42">
        <f t="shared" si="7"/>
        <v>150.97</v>
      </c>
      <c r="B42">
        <v>38.200000000000003</v>
      </c>
      <c r="I42">
        <v>82.456999999999994</v>
      </c>
      <c r="J42">
        <v>143.97</v>
      </c>
      <c r="N42" s="1"/>
      <c r="O42" s="1">
        <v>0</v>
      </c>
    </row>
    <row r="43" spans="1:15">
      <c r="A43">
        <f t="shared" si="7"/>
        <v>151.47</v>
      </c>
      <c r="B43">
        <v>39.299999999999997</v>
      </c>
      <c r="I43">
        <v>82.95</v>
      </c>
      <c r="J43">
        <v>140.04</v>
      </c>
      <c r="N43" s="1"/>
      <c r="O43" s="1">
        <v>0</v>
      </c>
    </row>
    <row r="44" spans="1:15">
      <c r="A44">
        <f t="shared" si="7"/>
        <v>151.97</v>
      </c>
      <c r="B44">
        <v>40.299999999999997</v>
      </c>
      <c r="I44">
        <v>83.406999999999996</v>
      </c>
      <c r="J44">
        <v>136.01</v>
      </c>
      <c r="N44" s="1"/>
      <c r="O44" s="1">
        <v>0</v>
      </c>
    </row>
    <row r="45" spans="1:15">
      <c r="A45">
        <f t="shared" si="7"/>
        <v>152.47</v>
      </c>
      <c r="B45">
        <v>41.4</v>
      </c>
      <c r="I45">
        <v>83.825999999999993</v>
      </c>
      <c r="J45">
        <v>131.9</v>
      </c>
      <c r="N45" s="1"/>
      <c r="O45" s="1">
        <v>0</v>
      </c>
    </row>
    <row r="46" spans="1:15">
      <c r="A46">
        <f t="shared" si="7"/>
        <v>152.97</v>
      </c>
      <c r="B46">
        <v>42.6</v>
      </c>
      <c r="I46">
        <v>84.206999999999994</v>
      </c>
      <c r="J46">
        <v>127.74</v>
      </c>
      <c r="N46" s="1"/>
      <c r="O46" s="1">
        <v>0</v>
      </c>
    </row>
    <row r="47" spans="1:15">
      <c r="A47">
        <f t="shared" si="7"/>
        <v>153.47</v>
      </c>
      <c r="B47">
        <v>43.7</v>
      </c>
      <c r="I47">
        <v>84.546999999999997</v>
      </c>
      <c r="J47">
        <v>123.57</v>
      </c>
      <c r="N47" s="1"/>
      <c r="O47" s="1">
        <v>0</v>
      </c>
    </row>
    <row r="48" spans="1:15">
      <c r="A48">
        <f t="shared" si="7"/>
        <v>153.97</v>
      </c>
      <c r="B48">
        <v>44.9</v>
      </c>
      <c r="I48">
        <v>84.847999999999999</v>
      </c>
      <c r="J48">
        <v>119.41</v>
      </c>
      <c r="N48" s="1"/>
      <c r="O48" s="1">
        <v>0</v>
      </c>
    </row>
    <row r="49" spans="1:15">
      <c r="A49">
        <f t="shared" si="7"/>
        <v>154.47</v>
      </c>
      <c r="B49">
        <v>46.2</v>
      </c>
      <c r="I49">
        <v>85.11</v>
      </c>
      <c r="J49">
        <v>115.3</v>
      </c>
      <c r="N49" s="1"/>
      <c r="O49" s="1">
        <v>0</v>
      </c>
    </row>
    <row r="50" spans="1:15">
      <c r="A50">
        <f t="shared" si="7"/>
        <v>154.97</v>
      </c>
      <c r="B50">
        <v>47.4</v>
      </c>
      <c r="I50">
        <v>85.334999999999994</v>
      </c>
      <c r="J50">
        <v>111.28</v>
      </c>
      <c r="N50" s="1"/>
      <c r="O50" s="1">
        <v>0</v>
      </c>
    </row>
    <row r="51" spans="1:15">
      <c r="A51">
        <f t="shared" si="7"/>
        <v>155.47</v>
      </c>
      <c r="B51">
        <v>48.7</v>
      </c>
      <c r="I51">
        <v>85.513999999999996</v>
      </c>
      <c r="J51">
        <v>107.53</v>
      </c>
      <c r="N51" s="1"/>
      <c r="O51" s="1">
        <v>0</v>
      </c>
    </row>
    <row r="52" spans="1:15">
      <c r="A52">
        <f t="shared" si="7"/>
        <v>155.97</v>
      </c>
      <c r="B52">
        <v>50.1</v>
      </c>
      <c r="I52">
        <v>85.661000000000001</v>
      </c>
      <c r="J52">
        <v>103.89</v>
      </c>
      <c r="N52" s="1"/>
      <c r="O52" s="1">
        <v>0</v>
      </c>
    </row>
    <row r="53" spans="1:15">
      <c r="A53">
        <f t="shared" si="7"/>
        <v>156.47</v>
      </c>
      <c r="B53">
        <v>51.4</v>
      </c>
      <c r="I53">
        <v>85.781999999999996</v>
      </c>
      <c r="J53">
        <v>100.36</v>
      </c>
      <c r="N53" s="1"/>
      <c r="O53" s="1">
        <v>0</v>
      </c>
    </row>
    <row r="54" spans="1:15">
      <c r="A54">
        <f t="shared" si="7"/>
        <v>156.97</v>
      </c>
      <c r="B54">
        <v>52.8</v>
      </c>
      <c r="I54">
        <v>85.881</v>
      </c>
      <c r="J54">
        <v>96.944999999999993</v>
      </c>
      <c r="N54" s="1"/>
      <c r="O54" s="1">
        <v>0</v>
      </c>
    </row>
    <row r="55" spans="1:15">
      <c r="A55">
        <f t="shared" si="7"/>
        <v>157.47</v>
      </c>
      <c r="B55">
        <v>54.3</v>
      </c>
      <c r="I55">
        <v>85.96</v>
      </c>
      <c r="J55">
        <v>93.655000000000001</v>
      </c>
      <c r="N55" s="1"/>
      <c r="O55" s="1">
        <v>0</v>
      </c>
    </row>
    <row r="56" spans="1:15">
      <c r="A56">
        <f t="shared" si="7"/>
        <v>157.97</v>
      </c>
      <c r="B56">
        <v>55.8</v>
      </c>
      <c r="I56">
        <v>86.024000000000001</v>
      </c>
      <c r="J56">
        <v>90.456999999999994</v>
      </c>
      <c r="N56" s="1"/>
      <c r="O56" s="1">
        <v>0</v>
      </c>
    </row>
    <row r="57" spans="1:15">
      <c r="A57">
        <f t="shared" si="7"/>
        <v>158.47</v>
      </c>
      <c r="B57">
        <v>57.3</v>
      </c>
      <c r="I57">
        <v>86.072999999999993</v>
      </c>
      <c r="J57">
        <v>87.385000000000005</v>
      </c>
      <c r="N57" s="1"/>
      <c r="O57" s="1">
        <v>0</v>
      </c>
    </row>
    <row r="58" spans="1:15">
      <c r="A58">
        <f t="shared" si="7"/>
        <v>158.97</v>
      </c>
      <c r="B58">
        <v>58.9</v>
      </c>
      <c r="I58">
        <v>86.111000000000004</v>
      </c>
      <c r="J58">
        <v>84.486999999999995</v>
      </c>
      <c r="N58" s="1"/>
      <c r="O58" s="1">
        <v>0</v>
      </c>
    </row>
    <row r="59" spans="1:15">
      <c r="A59">
        <f t="shared" si="7"/>
        <v>159.47</v>
      </c>
      <c r="B59">
        <v>60.5</v>
      </c>
      <c r="I59">
        <v>86.14</v>
      </c>
      <c r="J59">
        <v>81.692999999999998</v>
      </c>
      <c r="N59" s="1"/>
      <c r="O59" s="1">
        <v>0</v>
      </c>
    </row>
    <row r="60" spans="1:15">
      <c r="A60">
        <f t="shared" si="7"/>
        <v>159.97</v>
      </c>
      <c r="B60">
        <v>62.1</v>
      </c>
      <c r="I60">
        <v>86.167000000000002</v>
      </c>
      <c r="J60">
        <v>78.995000000000005</v>
      </c>
      <c r="N60" s="1"/>
      <c r="O60" s="1">
        <v>0</v>
      </c>
    </row>
    <row r="61" spans="1:15">
      <c r="A61">
        <f t="shared" si="7"/>
        <v>160.47</v>
      </c>
      <c r="B61">
        <v>63.8</v>
      </c>
      <c r="I61">
        <v>86.192999999999998</v>
      </c>
      <c r="J61">
        <v>76.426000000000002</v>
      </c>
      <c r="N61" s="1"/>
      <c r="O61" s="1">
        <v>0</v>
      </c>
    </row>
    <row r="62" spans="1:15">
      <c r="A62">
        <f t="shared" si="7"/>
        <v>160.97</v>
      </c>
      <c r="B62">
        <v>65.599999999999994</v>
      </c>
      <c r="I62">
        <v>86.224000000000004</v>
      </c>
      <c r="J62">
        <v>73.915000000000006</v>
      </c>
      <c r="N62" s="1"/>
      <c r="O62" s="1">
        <v>0</v>
      </c>
    </row>
    <row r="63" spans="1:15">
      <c r="A63">
        <f t="shared" si="7"/>
        <v>161.47</v>
      </c>
      <c r="B63">
        <v>67.400000000000006</v>
      </c>
      <c r="I63">
        <v>86.259</v>
      </c>
      <c r="J63">
        <v>71.474999999999994</v>
      </c>
      <c r="N63" s="1"/>
      <c r="O63" s="1">
        <v>0</v>
      </c>
    </row>
    <row r="64" spans="1:15">
      <c r="A64">
        <f t="shared" si="7"/>
        <v>161.97</v>
      </c>
      <c r="B64">
        <v>69.2</v>
      </c>
      <c r="I64">
        <v>86.299000000000007</v>
      </c>
      <c r="J64">
        <v>69.167000000000002</v>
      </c>
      <c r="N64" s="1"/>
      <c r="O64" s="1">
        <v>0</v>
      </c>
    </row>
    <row r="65" spans="1:15">
      <c r="A65">
        <f t="shared" si="7"/>
        <v>162.47</v>
      </c>
      <c r="B65">
        <v>71.099999999999994</v>
      </c>
      <c r="I65">
        <v>86.338999999999999</v>
      </c>
      <c r="J65">
        <v>66.900000000000006</v>
      </c>
      <c r="N65" s="1"/>
      <c r="O65" s="1">
        <v>0</v>
      </c>
    </row>
    <row r="66" spans="1:15">
      <c r="A66">
        <f t="shared" si="7"/>
        <v>162.97</v>
      </c>
      <c r="B66">
        <v>73.099999999999994</v>
      </c>
      <c r="I66">
        <v>86.373999999999995</v>
      </c>
      <c r="J66">
        <v>64.563999999999993</v>
      </c>
      <c r="N66" s="1"/>
      <c r="O66" s="1">
        <v>0</v>
      </c>
    </row>
    <row r="67" spans="1:15">
      <c r="A67">
        <f t="shared" si="7"/>
        <v>163.47</v>
      </c>
      <c r="B67">
        <v>75.099999999999994</v>
      </c>
      <c r="I67">
        <v>86.397999999999996</v>
      </c>
      <c r="J67">
        <v>62.216999999999999</v>
      </c>
      <c r="N67" s="1"/>
      <c r="O67" s="1">
        <v>0</v>
      </c>
    </row>
    <row r="68" spans="1:15">
      <c r="A68">
        <f t="shared" si="7"/>
        <v>163.97</v>
      </c>
      <c r="B68">
        <v>77.099999999999994</v>
      </c>
      <c r="I68">
        <v>86.412000000000006</v>
      </c>
      <c r="J68">
        <v>59.921999999999997</v>
      </c>
      <c r="N68" s="1"/>
      <c r="O68" s="1">
        <v>0</v>
      </c>
    </row>
    <row r="69" spans="1:15">
      <c r="A69">
        <f t="shared" si="7"/>
        <v>164.47</v>
      </c>
      <c r="B69">
        <v>79.3</v>
      </c>
      <c r="I69">
        <v>86.415999999999997</v>
      </c>
      <c r="J69">
        <v>57.649000000000001</v>
      </c>
      <c r="N69" s="1"/>
      <c r="O69" s="1">
        <v>0</v>
      </c>
    </row>
    <row r="70" spans="1:15">
      <c r="A70">
        <f t="shared" si="7"/>
        <v>164.97</v>
      </c>
      <c r="B70">
        <v>81.400000000000006</v>
      </c>
      <c r="I70">
        <v>86.412000000000006</v>
      </c>
      <c r="J70">
        <v>55.418999999999997</v>
      </c>
      <c r="N70" s="1"/>
      <c r="O70" s="1">
        <v>0</v>
      </c>
    </row>
    <row r="71" spans="1:15">
      <c r="A71">
        <f t="shared" si="7"/>
        <v>165.47</v>
      </c>
      <c r="B71">
        <v>83.7</v>
      </c>
      <c r="I71">
        <v>86.402000000000001</v>
      </c>
      <c r="J71">
        <v>53.302999999999997</v>
      </c>
      <c r="N71" s="1"/>
      <c r="O71" s="1">
        <v>0</v>
      </c>
    </row>
    <row r="72" spans="1:15">
      <c r="A72">
        <f t="shared" si="7"/>
        <v>165.97</v>
      </c>
      <c r="B72">
        <v>86</v>
      </c>
      <c r="I72">
        <v>86.391999999999996</v>
      </c>
      <c r="J72">
        <v>51.328000000000003</v>
      </c>
      <c r="N72" s="1"/>
      <c r="O72" s="1">
        <v>0</v>
      </c>
    </row>
    <row r="73" spans="1:15">
      <c r="A73">
        <f t="shared" si="7"/>
        <v>166.47</v>
      </c>
      <c r="B73">
        <v>88.3</v>
      </c>
      <c r="I73">
        <v>86.391000000000005</v>
      </c>
      <c r="J73">
        <v>49.459000000000003</v>
      </c>
      <c r="N73" s="1"/>
      <c r="O73" s="1">
        <v>0</v>
      </c>
    </row>
    <row r="74" spans="1:15">
      <c r="A74">
        <f t="shared" si="7"/>
        <v>166.97</v>
      </c>
      <c r="B74">
        <v>90.7</v>
      </c>
      <c r="I74">
        <v>86.400999999999996</v>
      </c>
      <c r="J74">
        <v>47.652000000000001</v>
      </c>
      <c r="N74" s="1"/>
      <c r="O74" s="1">
        <v>0</v>
      </c>
    </row>
    <row r="75" spans="1:15">
      <c r="A75">
        <f t="shared" si="7"/>
        <v>167.47</v>
      </c>
      <c r="B75">
        <v>93.2</v>
      </c>
      <c r="I75">
        <v>86.423000000000002</v>
      </c>
      <c r="J75">
        <v>45.845999999999997</v>
      </c>
      <c r="N75" s="1"/>
      <c r="O75" s="1">
        <v>0</v>
      </c>
    </row>
    <row r="76" spans="1:15">
      <c r="A76">
        <f t="shared" si="7"/>
        <v>167.97</v>
      </c>
      <c r="B76">
        <v>95.8</v>
      </c>
      <c r="I76">
        <v>86.45</v>
      </c>
      <c r="J76">
        <v>43.991999999999997</v>
      </c>
      <c r="N76" s="1"/>
      <c r="O76" s="1">
        <v>0</v>
      </c>
    </row>
    <row r="77" spans="1:15">
      <c r="A77">
        <f t="shared" si="7"/>
        <v>168.47</v>
      </c>
      <c r="B77">
        <v>98.4</v>
      </c>
      <c r="I77">
        <v>86.481999999999999</v>
      </c>
      <c r="J77">
        <v>42.156999999999996</v>
      </c>
      <c r="N77" s="1"/>
      <c r="O77" s="1">
        <v>0</v>
      </c>
    </row>
    <row r="78" spans="1:15">
      <c r="A78">
        <f t="shared" si="7"/>
        <v>168.97</v>
      </c>
      <c r="B78">
        <v>101.1</v>
      </c>
      <c r="I78">
        <v>86.525000000000006</v>
      </c>
      <c r="J78">
        <v>40.362000000000002</v>
      </c>
      <c r="N78" s="1"/>
      <c r="O78" s="1">
        <v>0</v>
      </c>
    </row>
    <row r="79" spans="1:15">
      <c r="A79">
        <f t="shared" si="7"/>
        <v>169.47</v>
      </c>
      <c r="B79">
        <v>103.8</v>
      </c>
      <c r="I79">
        <v>86.578000000000003</v>
      </c>
      <c r="J79">
        <v>38.508000000000003</v>
      </c>
      <c r="N79" s="1"/>
      <c r="O79" s="1">
        <v>0</v>
      </c>
    </row>
    <row r="80" spans="1:15">
      <c r="A80">
        <f t="shared" si="7"/>
        <v>169.97</v>
      </c>
      <c r="B80">
        <v>106.7</v>
      </c>
      <c r="I80">
        <v>86.638999999999996</v>
      </c>
      <c r="J80">
        <v>36.551000000000002</v>
      </c>
      <c r="N80" s="1"/>
      <c r="O80" s="1">
        <v>0</v>
      </c>
    </row>
    <row r="81" spans="1:15">
      <c r="A81">
        <f t="shared" si="7"/>
        <v>170.47</v>
      </c>
      <c r="B81">
        <v>109.6</v>
      </c>
      <c r="I81">
        <v>86.698999999999998</v>
      </c>
      <c r="J81">
        <v>34.387999999999998</v>
      </c>
      <c r="N81" s="1"/>
      <c r="O81" s="1">
        <v>0</v>
      </c>
    </row>
    <row r="82" spans="1:15">
      <c r="A82">
        <f t="shared" si="7"/>
        <v>170.97</v>
      </c>
      <c r="B82">
        <v>112.6</v>
      </c>
      <c r="I82">
        <v>86.748000000000005</v>
      </c>
      <c r="J82">
        <v>32.128</v>
      </c>
      <c r="N82" s="1"/>
      <c r="O82" s="1">
        <v>0</v>
      </c>
    </row>
    <row r="83" spans="1:15">
      <c r="A83">
        <f t="shared" si="7"/>
        <v>171.47</v>
      </c>
      <c r="B83">
        <v>115.7</v>
      </c>
      <c r="I83">
        <v>86.784000000000006</v>
      </c>
      <c r="J83">
        <v>29.960999999999999</v>
      </c>
      <c r="N83" s="1"/>
      <c r="O83" s="1">
        <v>0</v>
      </c>
    </row>
    <row r="84" spans="1:15">
      <c r="A84">
        <f t="shared" ref="A84:A147" si="8">+A83+0.5</f>
        <v>171.97</v>
      </c>
      <c r="B84">
        <v>118.9</v>
      </c>
      <c r="I84">
        <v>86.804000000000002</v>
      </c>
      <c r="J84">
        <v>27.716000000000001</v>
      </c>
      <c r="N84" s="1"/>
      <c r="O84" s="1">
        <v>0</v>
      </c>
    </row>
    <row r="85" spans="1:15">
      <c r="A85">
        <f t="shared" si="8"/>
        <v>172.47</v>
      </c>
      <c r="B85">
        <v>122.1</v>
      </c>
      <c r="I85">
        <v>86.804000000000002</v>
      </c>
      <c r="J85">
        <v>25.138000000000002</v>
      </c>
      <c r="N85" s="1"/>
      <c r="O85" s="1">
        <v>0</v>
      </c>
    </row>
    <row r="86" spans="1:15">
      <c r="A86">
        <f t="shared" si="8"/>
        <v>172.97</v>
      </c>
      <c r="B86">
        <v>125.5</v>
      </c>
      <c r="I86">
        <v>86.771000000000001</v>
      </c>
      <c r="J86">
        <v>22.326000000000001</v>
      </c>
      <c r="N86" s="1"/>
      <c r="O86" s="1">
        <v>0</v>
      </c>
    </row>
    <row r="87" spans="1:15">
      <c r="A87">
        <f t="shared" si="8"/>
        <v>173.47</v>
      </c>
      <c r="B87">
        <v>128.9</v>
      </c>
      <c r="I87">
        <v>86.688000000000002</v>
      </c>
      <c r="J87">
        <v>19.456</v>
      </c>
      <c r="N87" s="1"/>
      <c r="O87" s="1">
        <v>0</v>
      </c>
    </row>
    <row r="88" spans="1:15">
      <c r="A88">
        <f t="shared" si="8"/>
        <v>173.97</v>
      </c>
      <c r="B88">
        <v>132.4</v>
      </c>
      <c r="I88">
        <v>86.539000000000001</v>
      </c>
      <c r="J88">
        <v>16.510000000000002</v>
      </c>
      <c r="N88" s="1"/>
      <c r="O88" s="1">
        <v>0</v>
      </c>
    </row>
    <row r="89" spans="1:15">
      <c r="A89">
        <f t="shared" si="8"/>
        <v>174.47</v>
      </c>
      <c r="B89">
        <v>136.1</v>
      </c>
      <c r="I89">
        <v>86.325000000000003</v>
      </c>
      <c r="J89">
        <v>13.773999999999999</v>
      </c>
      <c r="N89" s="1"/>
      <c r="O89" s="1">
        <v>0</v>
      </c>
    </row>
    <row r="90" spans="1:15">
      <c r="A90">
        <f t="shared" si="8"/>
        <v>174.97</v>
      </c>
      <c r="B90">
        <v>139.80000000000001</v>
      </c>
      <c r="I90">
        <v>86.06</v>
      </c>
      <c r="J90">
        <v>11.446999999999999</v>
      </c>
      <c r="N90" s="1"/>
      <c r="O90" s="1">
        <v>0</v>
      </c>
    </row>
    <row r="91" spans="1:15">
      <c r="A91">
        <f t="shared" si="8"/>
        <v>175.47</v>
      </c>
      <c r="B91">
        <v>143.6</v>
      </c>
      <c r="I91">
        <v>85.795000000000002</v>
      </c>
      <c r="J91">
        <v>9.9954000000000001</v>
      </c>
      <c r="N91" s="1"/>
      <c r="O91" s="1">
        <v>0</v>
      </c>
    </row>
    <row r="92" spans="1:15">
      <c r="A92">
        <f t="shared" si="8"/>
        <v>175.97</v>
      </c>
      <c r="B92">
        <v>147.6</v>
      </c>
      <c r="I92">
        <v>85.603999999999999</v>
      </c>
      <c r="J92">
        <v>9.5395000000000003</v>
      </c>
      <c r="N92" s="1"/>
      <c r="O92" s="1">
        <v>0</v>
      </c>
    </row>
    <row r="93" spans="1:15">
      <c r="A93">
        <f t="shared" si="8"/>
        <v>176.47</v>
      </c>
      <c r="B93">
        <v>151.6</v>
      </c>
      <c r="I93">
        <v>85.492999999999995</v>
      </c>
      <c r="J93">
        <v>9.1321999999999992</v>
      </c>
      <c r="N93" s="1"/>
      <c r="O93" s="1">
        <v>0</v>
      </c>
    </row>
    <row r="94" spans="1:15">
      <c r="A94">
        <f t="shared" si="8"/>
        <v>176.97</v>
      </c>
      <c r="B94">
        <v>155.69999999999999</v>
      </c>
      <c r="I94">
        <v>85.47</v>
      </c>
      <c r="J94">
        <v>8.7781000000000002</v>
      </c>
      <c r="N94" s="1"/>
      <c r="O94" s="1">
        <v>0</v>
      </c>
    </row>
    <row r="95" spans="1:15">
      <c r="A95">
        <f t="shared" si="8"/>
        <v>177.47</v>
      </c>
      <c r="B95">
        <v>160</v>
      </c>
      <c r="I95">
        <v>85.536000000000001</v>
      </c>
      <c r="J95">
        <v>8.4045000000000005</v>
      </c>
      <c r="N95" s="1"/>
      <c r="O95" s="1">
        <v>0</v>
      </c>
    </row>
    <row r="96" spans="1:15">
      <c r="A96">
        <f t="shared" si="8"/>
        <v>177.97</v>
      </c>
      <c r="B96">
        <v>164.4</v>
      </c>
      <c r="I96">
        <v>85.662999999999997</v>
      </c>
      <c r="J96">
        <v>7.9692999999999996</v>
      </c>
      <c r="N96" s="1"/>
      <c r="O96" s="1">
        <v>0</v>
      </c>
    </row>
    <row r="97" spans="1:24">
      <c r="A97">
        <f t="shared" si="8"/>
        <v>178.47</v>
      </c>
      <c r="B97">
        <v>168.9</v>
      </c>
      <c r="I97">
        <v>85.8</v>
      </c>
      <c r="J97">
        <v>7.6155999999999997</v>
      </c>
      <c r="N97" s="1"/>
      <c r="O97" s="1">
        <v>0</v>
      </c>
    </row>
    <row r="98" spans="1:24">
      <c r="A98">
        <f t="shared" si="8"/>
        <v>178.97</v>
      </c>
      <c r="B98">
        <v>173.5</v>
      </c>
      <c r="I98">
        <v>85.927000000000007</v>
      </c>
      <c r="J98">
        <v>7.1227</v>
      </c>
      <c r="N98" s="1"/>
      <c r="O98" s="1">
        <v>0</v>
      </c>
    </row>
    <row r="99" spans="1:24">
      <c r="A99">
        <f t="shared" si="8"/>
        <v>179.47</v>
      </c>
      <c r="B99">
        <v>178.3</v>
      </c>
      <c r="I99">
        <v>86.027000000000001</v>
      </c>
      <c r="J99">
        <v>6.2491000000000003</v>
      </c>
      <c r="N99" s="1"/>
      <c r="O99" s="1">
        <v>0</v>
      </c>
    </row>
    <row r="100" spans="1:24">
      <c r="A100">
        <f t="shared" si="8"/>
        <v>179.97</v>
      </c>
      <c r="B100">
        <v>183.2</v>
      </c>
      <c r="I100">
        <v>86.097999999999999</v>
      </c>
      <c r="J100">
        <v>5.2862999999999998</v>
      </c>
      <c r="N100" s="1"/>
      <c r="O100" s="1">
        <v>0</v>
      </c>
    </row>
    <row r="101" spans="1:24">
      <c r="A101">
        <f t="shared" si="8"/>
        <v>180.47</v>
      </c>
      <c r="B101">
        <v>188.2</v>
      </c>
      <c r="I101">
        <v>86.138000000000005</v>
      </c>
      <c r="J101">
        <v>4.4531999999999998</v>
      </c>
      <c r="N101" s="1"/>
      <c r="O101" s="1">
        <v>0</v>
      </c>
    </row>
    <row r="102" spans="1:24">
      <c r="A102">
        <f t="shared" si="8"/>
        <v>180.97</v>
      </c>
      <c r="B102">
        <v>193.3</v>
      </c>
      <c r="I102">
        <v>86.141999999999996</v>
      </c>
      <c r="J102">
        <v>3.7503000000000002</v>
      </c>
      <c r="N102" s="1"/>
      <c r="O102" s="1">
        <v>0</v>
      </c>
    </row>
    <row r="103" spans="1:24">
      <c r="A103">
        <f t="shared" si="8"/>
        <v>181.47</v>
      </c>
      <c r="B103">
        <v>198.6</v>
      </c>
      <c r="D103" s="1"/>
      <c r="I103">
        <v>86.141999999999996</v>
      </c>
      <c r="J103">
        <v>3.3397000000000001</v>
      </c>
      <c r="N103" s="1"/>
      <c r="O103" s="1">
        <v>0</v>
      </c>
    </row>
    <row r="104" spans="1:24">
      <c r="A104">
        <f t="shared" si="8"/>
        <v>181.97</v>
      </c>
      <c r="B104">
        <v>204</v>
      </c>
      <c r="C104" s="1">
        <v>37</v>
      </c>
      <c r="D104" s="1">
        <v>335</v>
      </c>
      <c r="E104" s="1">
        <v>29</v>
      </c>
      <c r="F104" s="1">
        <v>335</v>
      </c>
      <c r="G104" s="1">
        <v>19.5</v>
      </c>
      <c r="H104" s="1">
        <v>332</v>
      </c>
      <c r="I104">
        <v>86.183000000000007</v>
      </c>
      <c r="J104">
        <v>3.2086000000000001</v>
      </c>
      <c r="N104" s="1"/>
      <c r="O104" s="1">
        <v>0</v>
      </c>
      <c r="P104">
        <f>20*LOG(P$12*$C104/0.00002)-$N104-$O104+P$4</f>
        <v>88.902133252247751</v>
      </c>
      <c r="Q104">
        <f>20*LOG(Q$12*$E104/0.00002)-$N104-$O104+Q$4</f>
        <v>88.786058728886971</v>
      </c>
      <c r="R104">
        <f>20*LOG(R$12*$G104/0.00002)-$N104-$O104+R$4</f>
        <v>89.338790998158203</v>
      </c>
      <c r="V104">
        <f t="shared" ref="V104:V167" si="9">(D104/360+V$4/V$5*$B104+0.5*V$6-INT(D104/360+V$4/V$5*$B104+0.5*V$6)+IF(D104/360+V$4/V$5*$B104+0.5*V$6-INT(D104/360+V$4/V$5*$B104+0.5*V$6)&gt;0.5,-1,0))*360</f>
        <v>15.700347773586785</v>
      </c>
      <c r="W104">
        <f>(F104/360+W$4/W$5*$B104+0.5*W$6-INT(F104/360+W$4/W$5*$B104+0.5*W$6)+IF(F104/360+W$4/W$5*$B104+0.5*W$6-INT(F104/360+W$4/W$5*$B104+0.5*W$6)&gt;0.5,-1,0))*360</f>
        <v>15.700347773586785</v>
      </c>
      <c r="X104">
        <f>(H104/360+X$4/X$5*$B104+0.5*X$6-INT(H104/360+X$4/X$5*$B104+0.5*X$6)+IF(H104/360+X$4/X$5*$B104+0.5*X$6-INT(H104/360+X$4/X$5*$B104+0.5*X$6)&gt;0.5,-1,0))*360</f>
        <v>12.700347773586795</v>
      </c>
    </row>
    <row r="105" spans="1:24">
      <c r="A105">
        <f t="shared" si="8"/>
        <v>182.47</v>
      </c>
      <c r="B105">
        <v>209.6</v>
      </c>
      <c r="C105" s="1">
        <v>37</v>
      </c>
      <c r="D105" s="1">
        <v>330</v>
      </c>
      <c r="E105" s="1">
        <v>29</v>
      </c>
      <c r="F105" s="1">
        <v>330</v>
      </c>
      <c r="G105" s="1">
        <v>19.5</v>
      </c>
      <c r="H105" s="1">
        <v>325</v>
      </c>
      <c r="I105">
        <v>86.277000000000001</v>
      </c>
      <c r="J105">
        <v>2.8340999999999998</v>
      </c>
      <c r="K105" s="1"/>
      <c r="N105" s="1"/>
      <c r="O105" s="1">
        <v>0</v>
      </c>
      <c r="P105">
        <f t="shared" ref="P105:P168" si="10">20*LOG(P$12*$C105/0.00002)-$N105-$O105+P$4</f>
        <v>88.902133252247751</v>
      </c>
      <c r="Q105">
        <f t="shared" ref="Q105:Q168" si="11">20*LOG(Q$12*$E105/0.00002)-$N105-$O105+Q$4</f>
        <v>88.786058728886971</v>
      </c>
      <c r="R105">
        <f t="shared" ref="R105:R168" si="12">20*LOG(R$12*$G105/0.00002)-$N105-$O105+R$4</f>
        <v>89.338790998158203</v>
      </c>
      <c r="V105">
        <f t="shared" si="9"/>
        <v>16.758788692861692</v>
      </c>
      <c r="W105">
        <f t="shared" ref="W105:W168" si="13">(F105/360+W$4/W$5*$B105+0.5*W$6-INT(F105/360+W$4/W$5*$B105+0.5*W$6)+IF(F105/360+W$4/W$5*$B105+0.5*W$6-INT(F105/360+W$4/W$5*$B105+0.5*W$6)&gt;0.5,-1,0))*360</f>
        <v>16.758788692861692</v>
      </c>
      <c r="X105">
        <f t="shared" ref="X105:X168" si="14">(H105/360+X$4/X$5*$B105+0.5*X$6-INT(H105/360+X$4/X$5*$B105+0.5*X$6)+IF(H105/360+X$4/X$5*$B105+0.5*X$6-INT(H105/360+X$4/X$5*$B105+0.5*X$6)&gt;0.5,-1,0))*360</f>
        <v>11.75878869286171</v>
      </c>
    </row>
    <row r="106" spans="1:24">
      <c r="A106">
        <f t="shared" si="8"/>
        <v>182.97</v>
      </c>
      <c r="B106">
        <v>215.4</v>
      </c>
      <c r="C106" s="1">
        <v>36</v>
      </c>
      <c r="D106" s="1">
        <v>325</v>
      </c>
      <c r="E106" s="1">
        <v>29</v>
      </c>
      <c r="F106" s="1">
        <v>322</v>
      </c>
      <c r="G106" s="1">
        <v>19.5</v>
      </c>
      <c r="H106" s="1">
        <v>318</v>
      </c>
      <c r="I106">
        <v>86.385000000000005</v>
      </c>
      <c r="J106">
        <v>1.7997000000000001</v>
      </c>
      <c r="K106" s="1"/>
      <c r="N106" s="1"/>
      <c r="O106" s="1">
        <v>0</v>
      </c>
      <c r="P106">
        <f t="shared" si="10"/>
        <v>88.664148786253605</v>
      </c>
      <c r="Q106">
        <f t="shared" si="11"/>
        <v>88.786058728886971</v>
      </c>
      <c r="R106">
        <f t="shared" si="12"/>
        <v>89.338790998158203</v>
      </c>
      <c r="V106">
        <f t="shared" si="9"/>
        <v>18.033602502110675</v>
      </c>
      <c r="W106">
        <f t="shared" si="13"/>
        <v>15.033602502110686</v>
      </c>
      <c r="X106">
        <f t="shared" si="14"/>
        <v>11.0336025021107</v>
      </c>
    </row>
    <row r="107" spans="1:24">
      <c r="A107">
        <f t="shared" si="8"/>
        <v>183.47</v>
      </c>
      <c r="B107">
        <v>221.2</v>
      </c>
      <c r="C107" s="1">
        <v>36</v>
      </c>
      <c r="D107" s="1">
        <v>320</v>
      </c>
      <c r="E107" s="1">
        <v>29</v>
      </c>
      <c r="F107" s="1">
        <v>315</v>
      </c>
      <c r="G107" s="1">
        <v>19.5</v>
      </c>
      <c r="H107" s="1">
        <v>311</v>
      </c>
      <c r="I107">
        <v>86.460999999999999</v>
      </c>
      <c r="J107">
        <v>0.2742</v>
      </c>
      <c r="K107" s="1"/>
      <c r="N107" s="1"/>
      <c r="O107" s="1">
        <v>0</v>
      </c>
      <c r="P107">
        <f t="shared" si="10"/>
        <v>88.664148786253605</v>
      </c>
      <c r="Q107">
        <f t="shared" si="11"/>
        <v>88.786058728886971</v>
      </c>
      <c r="R107">
        <f t="shared" si="12"/>
        <v>89.338790998158203</v>
      </c>
      <c r="V107">
        <f t="shared" si="9"/>
        <v>19.308416311359657</v>
      </c>
      <c r="W107">
        <f t="shared" si="13"/>
        <v>14.308416311359675</v>
      </c>
      <c r="X107">
        <f t="shared" si="14"/>
        <v>10.308416311359689</v>
      </c>
    </row>
    <row r="108" spans="1:24">
      <c r="A108">
        <f t="shared" si="8"/>
        <v>183.97</v>
      </c>
      <c r="B108">
        <v>227.2</v>
      </c>
      <c r="C108" s="1">
        <v>35</v>
      </c>
      <c r="D108" s="1">
        <v>312</v>
      </c>
      <c r="E108" s="1">
        <v>28.5</v>
      </c>
      <c r="F108" s="1">
        <v>307</v>
      </c>
      <c r="G108" s="1">
        <v>19.5</v>
      </c>
      <c r="H108" s="1">
        <v>304</v>
      </c>
      <c r="I108">
        <v>86.501000000000005</v>
      </c>
      <c r="J108">
        <v>-1.29</v>
      </c>
      <c r="K108" s="1"/>
      <c r="N108" s="1"/>
      <c r="O108" s="1">
        <v>0</v>
      </c>
      <c r="P108">
        <f t="shared" si="10"/>
        <v>88.419459657913364</v>
      </c>
      <c r="Q108">
        <f t="shared" si="11"/>
        <v>88.634995971078041</v>
      </c>
      <c r="R108">
        <f t="shared" si="12"/>
        <v>89.338790998158203</v>
      </c>
      <c r="V108">
        <f t="shared" si="9"/>
        <v>17.799603010582885</v>
      </c>
      <c r="W108">
        <f t="shared" si="13"/>
        <v>12.799603010582903</v>
      </c>
      <c r="X108">
        <f t="shared" si="14"/>
        <v>9.7996030105829135</v>
      </c>
    </row>
    <row r="109" spans="1:24">
      <c r="A109">
        <f t="shared" si="8"/>
        <v>184.47</v>
      </c>
      <c r="B109">
        <v>233.4</v>
      </c>
      <c r="C109" s="1">
        <v>35</v>
      </c>
      <c r="D109" s="1">
        <v>305</v>
      </c>
      <c r="E109" s="1">
        <v>27.5</v>
      </c>
      <c r="F109" s="1">
        <v>300</v>
      </c>
      <c r="G109" s="1">
        <v>19</v>
      </c>
      <c r="H109" s="1">
        <v>297</v>
      </c>
      <c r="I109">
        <v>86.52</v>
      </c>
      <c r="J109">
        <v>-2.782</v>
      </c>
      <c r="K109" s="1"/>
      <c r="N109" s="1"/>
      <c r="O109" s="1">
        <v>0</v>
      </c>
      <c r="P109">
        <f t="shared" si="10"/>
        <v>88.419459657913364</v>
      </c>
      <c r="Q109">
        <f t="shared" si="11"/>
        <v>88.324752647513094</v>
      </c>
      <c r="R109">
        <f t="shared" si="12"/>
        <v>89.113170789964414</v>
      </c>
      <c r="V109">
        <f t="shared" si="9"/>
        <v>17.507162599780024</v>
      </c>
      <c r="W109">
        <f t="shared" si="13"/>
        <v>12.507162599780202</v>
      </c>
      <c r="X109">
        <f t="shared" si="14"/>
        <v>9.5071625997800524</v>
      </c>
    </row>
    <row r="110" spans="1:24">
      <c r="A110">
        <f t="shared" si="8"/>
        <v>184.97</v>
      </c>
      <c r="B110">
        <v>239.8</v>
      </c>
      <c r="C110" s="1">
        <v>35</v>
      </c>
      <c r="D110" s="1">
        <v>295</v>
      </c>
      <c r="E110" s="1">
        <v>27.5</v>
      </c>
      <c r="F110" s="1">
        <v>292</v>
      </c>
      <c r="G110" s="1">
        <v>18.5</v>
      </c>
      <c r="H110" s="1">
        <v>290</v>
      </c>
      <c r="I110">
        <v>86.492999999999995</v>
      </c>
      <c r="J110">
        <v>-4.548</v>
      </c>
      <c r="K110" s="1"/>
      <c r="N110" s="1"/>
      <c r="O110" s="1">
        <v>0</v>
      </c>
      <c r="P110">
        <f t="shared" si="10"/>
        <v>88.419459657913364</v>
      </c>
      <c r="Q110">
        <f t="shared" si="11"/>
        <v>88.324752647513094</v>
      </c>
      <c r="R110">
        <f t="shared" si="12"/>
        <v>88.881533338968111</v>
      </c>
      <c r="V110">
        <f t="shared" si="9"/>
        <v>14.431095078951408</v>
      </c>
      <c r="W110">
        <f t="shared" si="13"/>
        <v>11.431095078951579</v>
      </c>
      <c r="X110">
        <f t="shared" si="14"/>
        <v>9.4310950789515857</v>
      </c>
    </row>
    <row r="111" spans="1:24">
      <c r="A111">
        <f t="shared" si="8"/>
        <v>185.47</v>
      </c>
      <c r="B111">
        <v>246.4</v>
      </c>
      <c r="C111" s="1">
        <v>34</v>
      </c>
      <c r="D111" s="1">
        <v>284</v>
      </c>
      <c r="E111" s="1">
        <v>27.5</v>
      </c>
      <c r="F111" s="1">
        <v>284</v>
      </c>
      <c r="G111" s="1">
        <v>18</v>
      </c>
      <c r="H111" s="1">
        <v>282</v>
      </c>
      <c r="I111">
        <v>86.385999999999996</v>
      </c>
      <c r="J111">
        <v>-6.4850000000000003</v>
      </c>
      <c r="K111" s="1"/>
      <c r="N111" s="1"/>
      <c r="O111" s="1">
        <v>0</v>
      </c>
      <c r="P111">
        <f t="shared" si="10"/>
        <v>88.167677111752951</v>
      </c>
      <c r="Q111">
        <f t="shared" si="11"/>
        <v>88.324752647513094</v>
      </c>
      <c r="R111">
        <f t="shared" si="12"/>
        <v>88.643548872973966</v>
      </c>
      <c r="V111">
        <f t="shared" si="9"/>
        <v>10.57140044809687</v>
      </c>
      <c r="W111">
        <f t="shared" si="13"/>
        <v>10.57140044809687</v>
      </c>
      <c r="X111">
        <f t="shared" si="14"/>
        <v>8.5714004480968775</v>
      </c>
    </row>
    <row r="112" spans="1:24">
      <c r="A112">
        <f t="shared" si="8"/>
        <v>185.97</v>
      </c>
      <c r="B112">
        <v>253.2</v>
      </c>
      <c r="C112" s="1">
        <v>33</v>
      </c>
      <c r="D112" s="1">
        <v>275</v>
      </c>
      <c r="E112" s="1">
        <v>27</v>
      </c>
      <c r="F112" s="1">
        <v>276</v>
      </c>
      <c r="G112" s="1">
        <v>17.5</v>
      </c>
      <c r="H112" s="1">
        <v>274</v>
      </c>
      <c r="I112">
        <v>86.234999999999999</v>
      </c>
      <c r="J112">
        <v>-7.7889999999999997</v>
      </c>
      <c r="K112" s="1"/>
      <c r="N112" s="1"/>
      <c r="O112" s="1">
        <v>0</v>
      </c>
      <c r="P112">
        <f t="shared" si="10"/>
        <v>87.908377568465596</v>
      </c>
      <c r="Q112">
        <f t="shared" si="11"/>
        <v>88.165374054087593</v>
      </c>
      <c r="R112">
        <f t="shared" si="12"/>
        <v>88.398859744633725</v>
      </c>
      <c r="V112">
        <f t="shared" si="9"/>
        <v>8.9280787072164003</v>
      </c>
      <c r="W112">
        <f t="shared" si="13"/>
        <v>9.9280787072165566</v>
      </c>
      <c r="X112">
        <f t="shared" si="14"/>
        <v>7.9280787072164038</v>
      </c>
    </row>
    <row r="113" spans="1:24">
      <c r="A113">
        <f t="shared" si="8"/>
        <v>186.47</v>
      </c>
      <c r="B113">
        <v>260.2</v>
      </c>
      <c r="C113" s="1">
        <v>32</v>
      </c>
      <c r="D113" s="1">
        <v>265</v>
      </c>
      <c r="E113" s="1">
        <v>27</v>
      </c>
      <c r="F113" s="1">
        <v>267</v>
      </c>
      <c r="G113" s="1">
        <v>17</v>
      </c>
      <c r="H113" s="1">
        <v>266</v>
      </c>
      <c r="I113">
        <v>86.126999999999995</v>
      </c>
      <c r="J113">
        <v>-8.0419999999999998</v>
      </c>
      <c r="K113" s="1"/>
      <c r="N113" s="1"/>
      <c r="O113" s="1">
        <v>0</v>
      </c>
      <c r="P113">
        <f t="shared" si="10"/>
        <v>87.641098337305976</v>
      </c>
      <c r="Q113">
        <f t="shared" si="11"/>
        <v>88.165374054087593</v>
      </c>
      <c r="R113">
        <f t="shared" si="12"/>
        <v>88.147077198473326</v>
      </c>
      <c r="V113">
        <f t="shared" si="9"/>
        <v>6.5011298563101683</v>
      </c>
      <c r="W113">
        <f t="shared" si="13"/>
        <v>8.5011298563101612</v>
      </c>
      <c r="X113">
        <f t="shared" si="14"/>
        <v>7.5011298563101647</v>
      </c>
    </row>
    <row r="114" spans="1:24">
      <c r="A114">
        <f t="shared" si="8"/>
        <v>186.97</v>
      </c>
      <c r="B114">
        <v>267.39999999999998</v>
      </c>
      <c r="C114" s="1">
        <v>31.5</v>
      </c>
      <c r="D114" s="1">
        <v>260</v>
      </c>
      <c r="E114" s="1">
        <v>27</v>
      </c>
      <c r="F114" s="1">
        <v>259</v>
      </c>
      <c r="G114" s="1">
        <v>16.5</v>
      </c>
      <c r="H114" s="1">
        <v>258</v>
      </c>
      <c r="I114">
        <v>86.078000000000003</v>
      </c>
      <c r="J114">
        <v>-7.63</v>
      </c>
      <c r="K114" s="1"/>
      <c r="N114" s="1"/>
      <c r="O114" s="1">
        <v>0</v>
      </c>
      <c r="P114">
        <f t="shared" si="10"/>
        <v>87.504309846699869</v>
      </c>
      <c r="Q114">
        <f t="shared" si="11"/>
        <v>88.165374054087593</v>
      </c>
      <c r="R114">
        <f t="shared" si="12"/>
        <v>87.887777655185971</v>
      </c>
      <c r="V114">
        <f t="shared" si="9"/>
        <v>9.2905538953778333</v>
      </c>
      <c r="W114">
        <f t="shared" si="13"/>
        <v>8.2905538953778368</v>
      </c>
      <c r="X114">
        <f t="shared" si="14"/>
        <v>7.2905538953778404</v>
      </c>
    </row>
    <row r="115" spans="1:24">
      <c r="A115">
        <f t="shared" si="8"/>
        <v>187.47</v>
      </c>
      <c r="B115">
        <v>274.60000000000002</v>
      </c>
      <c r="C115" s="1">
        <v>30</v>
      </c>
      <c r="D115" s="1">
        <v>255</v>
      </c>
      <c r="E115" s="1">
        <v>26</v>
      </c>
      <c r="F115" s="1">
        <v>251</v>
      </c>
      <c r="G115" s="1">
        <v>16.5</v>
      </c>
      <c r="H115" s="1">
        <v>250</v>
      </c>
      <c r="I115">
        <v>86.004999999999995</v>
      </c>
      <c r="J115">
        <v>-7.194</v>
      </c>
      <c r="K115" s="1"/>
      <c r="N115" s="1"/>
      <c r="O115" s="1">
        <v>0</v>
      </c>
      <c r="P115">
        <f t="shared" si="10"/>
        <v>87.080523865301103</v>
      </c>
      <c r="Q115">
        <f t="shared" si="11"/>
        <v>87.837565730324201</v>
      </c>
      <c r="R115">
        <f t="shared" si="12"/>
        <v>87.887777655185971</v>
      </c>
      <c r="V115">
        <f t="shared" si="9"/>
        <v>12.079977934445658</v>
      </c>
      <c r="W115">
        <f t="shared" si="13"/>
        <v>8.0799779344456724</v>
      </c>
      <c r="X115">
        <f t="shared" si="14"/>
        <v>7.0799779344456759</v>
      </c>
    </row>
    <row r="116" spans="1:24">
      <c r="A116">
        <f t="shared" si="8"/>
        <v>187.97</v>
      </c>
      <c r="B116">
        <v>282.2</v>
      </c>
      <c r="C116" s="1">
        <v>30</v>
      </c>
      <c r="D116" s="1">
        <v>247</v>
      </c>
      <c r="E116" s="1">
        <v>26</v>
      </c>
      <c r="F116" s="1">
        <v>243</v>
      </c>
      <c r="G116" s="1">
        <v>16.5</v>
      </c>
      <c r="H116" s="1">
        <v>242</v>
      </c>
      <c r="I116">
        <v>85.891000000000005</v>
      </c>
      <c r="J116">
        <v>-7.024</v>
      </c>
      <c r="K116" s="1"/>
      <c r="N116" s="1"/>
      <c r="O116" s="1">
        <v>0</v>
      </c>
      <c r="P116">
        <f t="shared" si="10"/>
        <v>87.080523865301103</v>
      </c>
      <c r="Q116">
        <f t="shared" si="11"/>
        <v>87.837565730324201</v>
      </c>
      <c r="R116">
        <f t="shared" si="12"/>
        <v>87.887777655185971</v>
      </c>
      <c r="V116">
        <f t="shared" si="9"/>
        <v>12.302147753461643</v>
      </c>
      <c r="W116">
        <f t="shared" si="13"/>
        <v>8.3021477534616572</v>
      </c>
      <c r="X116">
        <f t="shared" si="14"/>
        <v>7.3021477534616608</v>
      </c>
    </row>
    <row r="117" spans="1:24">
      <c r="A117">
        <f t="shared" si="8"/>
        <v>188.47</v>
      </c>
      <c r="B117">
        <v>289.8</v>
      </c>
      <c r="C117" s="1">
        <v>30</v>
      </c>
      <c r="D117" s="1">
        <v>238</v>
      </c>
      <c r="E117" s="1">
        <v>26</v>
      </c>
      <c r="F117" s="1">
        <v>235</v>
      </c>
      <c r="G117" s="1">
        <v>16.5</v>
      </c>
      <c r="H117" s="1">
        <v>233</v>
      </c>
      <c r="I117">
        <v>85.858999999999995</v>
      </c>
      <c r="J117">
        <v>-7.0629999999999997</v>
      </c>
      <c r="K117" s="1"/>
      <c r="N117" s="1"/>
      <c r="O117" s="1">
        <v>0</v>
      </c>
      <c r="P117">
        <f t="shared" si="10"/>
        <v>87.080523865301103</v>
      </c>
      <c r="Q117">
        <f t="shared" si="11"/>
        <v>87.837565730324201</v>
      </c>
      <c r="R117">
        <f t="shared" si="12"/>
        <v>87.887777655185971</v>
      </c>
      <c r="V117">
        <f t="shared" si="9"/>
        <v>11.524317572477631</v>
      </c>
      <c r="W117">
        <f t="shared" si="13"/>
        <v>8.5243175724776421</v>
      </c>
      <c r="X117">
        <f t="shared" si="14"/>
        <v>6.5243175724776492</v>
      </c>
    </row>
    <row r="118" spans="1:24">
      <c r="A118">
        <f t="shared" si="8"/>
        <v>188.97</v>
      </c>
      <c r="B118">
        <v>297.8</v>
      </c>
      <c r="C118" s="1">
        <v>30</v>
      </c>
      <c r="D118" s="1">
        <v>230</v>
      </c>
      <c r="E118" s="1">
        <v>26</v>
      </c>
      <c r="F118" s="1">
        <v>227</v>
      </c>
      <c r="G118" s="1">
        <v>16</v>
      </c>
      <c r="H118" s="1">
        <v>224</v>
      </c>
      <c r="I118">
        <v>86.016000000000005</v>
      </c>
      <c r="J118">
        <v>-7.5759999999999996</v>
      </c>
      <c r="K118" s="1"/>
      <c r="N118" s="1"/>
      <c r="O118" s="1">
        <v>0</v>
      </c>
      <c r="P118">
        <f t="shared" si="10"/>
        <v>87.080523865301103</v>
      </c>
      <c r="Q118">
        <f t="shared" si="11"/>
        <v>87.837565730324201</v>
      </c>
      <c r="R118">
        <f t="shared" si="12"/>
        <v>87.620498424026337</v>
      </c>
      <c r="V118">
        <f t="shared" si="9"/>
        <v>12.179233171441766</v>
      </c>
      <c r="W118">
        <f t="shared" si="13"/>
        <v>9.1792331714417763</v>
      </c>
      <c r="X118">
        <f t="shared" si="14"/>
        <v>6.179233171441787</v>
      </c>
    </row>
    <row r="119" spans="1:24">
      <c r="A119">
        <f t="shared" si="8"/>
        <v>189.47</v>
      </c>
      <c r="B119">
        <v>306</v>
      </c>
      <c r="C119" s="1">
        <v>30</v>
      </c>
      <c r="D119" s="1">
        <v>220</v>
      </c>
      <c r="E119" s="1">
        <v>26</v>
      </c>
      <c r="F119" s="1">
        <v>217</v>
      </c>
      <c r="G119" s="1">
        <v>16</v>
      </c>
      <c r="H119" s="1">
        <v>215</v>
      </c>
      <c r="I119">
        <v>86.343000000000004</v>
      </c>
      <c r="J119">
        <v>-8.6519999999999992</v>
      </c>
      <c r="K119" s="1"/>
      <c r="N119" s="1"/>
      <c r="O119" s="1">
        <v>-0.06</v>
      </c>
      <c r="P119">
        <f t="shared" si="10"/>
        <v>87.140523865301105</v>
      </c>
      <c r="Q119">
        <f t="shared" si="11"/>
        <v>87.897565730324203</v>
      </c>
      <c r="R119">
        <f t="shared" si="12"/>
        <v>87.680498424026339</v>
      </c>
      <c r="V119">
        <f t="shared" si="9"/>
        <v>11.050521660380141</v>
      </c>
      <c r="W119">
        <f t="shared" si="13"/>
        <v>8.0505216603801522</v>
      </c>
      <c r="X119">
        <f t="shared" si="14"/>
        <v>6.0505216603801593</v>
      </c>
    </row>
    <row r="120" spans="1:24">
      <c r="A120">
        <f t="shared" si="8"/>
        <v>189.97</v>
      </c>
      <c r="B120">
        <v>314.39999999999998</v>
      </c>
      <c r="C120" s="1">
        <v>30</v>
      </c>
      <c r="D120" s="1">
        <v>210</v>
      </c>
      <c r="E120" s="1">
        <v>26</v>
      </c>
      <c r="F120" s="1">
        <v>205</v>
      </c>
      <c r="G120" s="1">
        <v>16</v>
      </c>
      <c r="H120" s="1">
        <v>206</v>
      </c>
      <c r="I120">
        <v>86.781999999999996</v>
      </c>
      <c r="J120">
        <v>-9.8469999999999995</v>
      </c>
      <c r="K120" s="1"/>
      <c r="N120" s="1"/>
      <c r="O120" s="1">
        <v>-0.1</v>
      </c>
      <c r="P120">
        <f t="shared" si="10"/>
        <v>87.180523865301097</v>
      </c>
      <c r="Q120">
        <f t="shared" si="11"/>
        <v>87.937565730324195</v>
      </c>
      <c r="R120">
        <f t="shared" si="12"/>
        <v>87.720498424026331</v>
      </c>
      <c r="V120">
        <f t="shared" si="9"/>
        <v>10.138183039292432</v>
      </c>
      <c r="W120">
        <f t="shared" si="13"/>
        <v>5.1381830392924499</v>
      </c>
      <c r="X120">
        <f t="shared" si="14"/>
        <v>6.1381830392924464</v>
      </c>
    </row>
    <row r="121" spans="1:24">
      <c r="A121">
        <f t="shared" si="8"/>
        <v>190.47</v>
      </c>
      <c r="B121">
        <v>323</v>
      </c>
      <c r="C121" s="1">
        <v>30</v>
      </c>
      <c r="D121" s="1">
        <v>200</v>
      </c>
      <c r="E121" s="1">
        <v>26</v>
      </c>
      <c r="F121" s="1">
        <v>192</v>
      </c>
      <c r="G121" s="1">
        <v>16</v>
      </c>
      <c r="H121" s="1">
        <v>196</v>
      </c>
      <c r="I121">
        <v>87.227000000000004</v>
      </c>
      <c r="J121">
        <v>-11.43</v>
      </c>
      <c r="K121" s="1"/>
      <c r="N121" s="1"/>
      <c r="O121" s="1">
        <v>-0.1</v>
      </c>
      <c r="P121">
        <f t="shared" si="10"/>
        <v>87.180523865301097</v>
      </c>
      <c r="Q121">
        <f t="shared" si="11"/>
        <v>87.937565730324195</v>
      </c>
      <c r="R121">
        <f t="shared" si="12"/>
        <v>87.720498424026331</v>
      </c>
      <c r="V121">
        <f t="shared" si="9"/>
        <v>9.4422173081789573</v>
      </c>
      <c r="W121">
        <f t="shared" si="13"/>
        <v>1.4422173081789857</v>
      </c>
      <c r="X121">
        <f t="shared" si="14"/>
        <v>5.4422173081789715</v>
      </c>
    </row>
    <row r="122" spans="1:24">
      <c r="A122">
        <f t="shared" si="8"/>
        <v>190.97</v>
      </c>
      <c r="B122">
        <v>331.8</v>
      </c>
      <c r="C122" s="1">
        <v>30</v>
      </c>
      <c r="D122" s="1">
        <v>190</v>
      </c>
      <c r="E122" s="1">
        <v>26.5</v>
      </c>
      <c r="F122" s="1">
        <v>181</v>
      </c>
      <c r="G122" s="1">
        <v>16</v>
      </c>
      <c r="H122" s="1">
        <v>186</v>
      </c>
      <c r="I122">
        <v>87.53</v>
      </c>
      <c r="J122">
        <v>-13.7</v>
      </c>
      <c r="K122" s="1"/>
      <c r="N122" s="1"/>
      <c r="O122" s="1">
        <v>-0.1</v>
      </c>
      <c r="P122">
        <f t="shared" si="10"/>
        <v>87.180523865301097</v>
      </c>
      <c r="Q122">
        <f t="shared" si="11"/>
        <v>88.103016249643986</v>
      </c>
      <c r="R122">
        <f t="shared" si="12"/>
        <v>87.720498424026331</v>
      </c>
      <c r="V122">
        <f t="shared" si="9"/>
        <v>8.962624467039717</v>
      </c>
      <c r="W122">
        <f t="shared" si="13"/>
        <v>-3.7375532960410851E-2</v>
      </c>
      <c r="X122">
        <f t="shared" si="14"/>
        <v>4.9626244670397313</v>
      </c>
    </row>
    <row r="123" spans="1:24">
      <c r="A123">
        <f t="shared" si="8"/>
        <v>191.47</v>
      </c>
      <c r="B123">
        <v>340.8</v>
      </c>
      <c r="C123" s="1">
        <v>30</v>
      </c>
      <c r="D123" s="1">
        <v>180</v>
      </c>
      <c r="E123" s="1">
        <v>26.5</v>
      </c>
      <c r="F123" s="1">
        <v>171</v>
      </c>
      <c r="G123" s="1">
        <v>16</v>
      </c>
      <c r="H123" s="1">
        <v>176</v>
      </c>
      <c r="I123">
        <v>87.688999999999993</v>
      </c>
      <c r="J123">
        <v>-16.899999999999999</v>
      </c>
      <c r="K123" s="1"/>
      <c r="N123" s="1"/>
      <c r="O123" s="1">
        <v>-0.1</v>
      </c>
      <c r="P123">
        <f t="shared" si="10"/>
        <v>87.180523865301097</v>
      </c>
      <c r="Q123">
        <f t="shared" si="11"/>
        <v>88.103016249643986</v>
      </c>
      <c r="R123">
        <f t="shared" si="12"/>
        <v>87.720498424026331</v>
      </c>
      <c r="V123">
        <f t="shared" si="9"/>
        <v>8.6994045158743916</v>
      </c>
      <c r="W123">
        <f t="shared" si="13"/>
        <v>-0.30059548412573633</v>
      </c>
      <c r="X123">
        <f t="shared" si="14"/>
        <v>4.6994045158744058</v>
      </c>
    </row>
    <row r="124" spans="1:24">
      <c r="A124">
        <f t="shared" si="8"/>
        <v>191.97</v>
      </c>
      <c r="B124">
        <v>350.2</v>
      </c>
      <c r="C124" s="1">
        <v>30</v>
      </c>
      <c r="D124" s="1">
        <v>168</v>
      </c>
      <c r="E124" s="1">
        <v>26.5</v>
      </c>
      <c r="F124" s="1">
        <v>160</v>
      </c>
      <c r="G124" s="1">
        <v>16</v>
      </c>
      <c r="H124" s="1">
        <v>165</v>
      </c>
      <c r="I124">
        <v>87.822000000000003</v>
      </c>
      <c r="J124">
        <v>-27.59</v>
      </c>
      <c r="K124" s="1"/>
      <c r="N124" s="1"/>
      <c r="O124" s="1">
        <v>-0.1</v>
      </c>
      <c r="P124">
        <f t="shared" si="10"/>
        <v>87.180523865301097</v>
      </c>
      <c r="Q124">
        <f t="shared" si="11"/>
        <v>88.103016249643986</v>
      </c>
      <c r="R124">
        <f t="shared" si="12"/>
        <v>87.720498424026331</v>
      </c>
      <c r="V124">
        <f t="shared" si="9"/>
        <v>6.8689303446572225</v>
      </c>
      <c r="W124">
        <f t="shared" si="13"/>
        <v>-1.131069655342829</v>
      </c>
      <c r="X124">
        <f t="shared" si="14"/>
        <v>3.8689303446570733</v>
      </c>
    </row>
    <row r="125" spans="1:24">
      <c r="A125">
        <f t="shared" si="8"/>
        <v>192.47</v>
      </c>
      <c r="B125">
        <v>359.8</v>
      </c>
      <c r="C125" s="1">
        <v>30</v>
      </c>
      <c r="D125" s="1">
        <v>155</v>
      </c>
      <c r="E125" s="1">
        <v>26.5</v>
      </c>
      <c r="F125" s="1">
        <v>150</v>
      </c>
      <c r="G125" s="1">
        <v>16</v>
      </c>
      <c r="H125" s="1">
        <v>153</v>
      </c>
      <c r="I125">
        <v>87.968999999999994</v>
      </c>
      <c r="J125">
        <v>-43.23</v>
      </c>
      <c r="K125" s="1"/>
      <c r="N125" s="1"/>
      <c r="O125" s="1">
        <v>-0.1</v>
      </c>
      <c r="P125">
        <f t="shared" si="10"/>
        <v>87.180523865301097</v>
      </c>
      <c r="Q125">
        <f t="shared" si="11"/>
        <v>88.103016249643986</v>
      </c>
      <c r="R125">
        <f t="shared" si="12"/>
        <v>87.720498424026331</v>
      </c>
      <c r="V125">
        <f t="shared" si="9"/>
        <v>4.2548290634142916</v>
      </c>
      <c r="W125">
        <f t="shared" si="13"/>
        <v>-0.74517093658569067</v>
      </c>
      <c r="X125">
        <f t="shared" si="14"/>
        <v>2.2548290634142987</v>
      </c>
    </row>
    <row r="126" spans="1:24">
      <c r="A126">
        <f t="shared" si="8"/>
        <v>192.97</v>
      </c>
      <c r="B126">
        <v>369.8</v>
      </c>
      <c r="C126" s="1">
        <v>30</v>
      </c>
      <c r="D126" s="1">
        <v>140</v>
      </c>
      <c r="E126" s="1">
        <v>26.5</v>
      </c>
      <c r="F126" s="1">
        <v>140</v>
      </c>
      <c r="G126" s="1">
        <v>16</v>
      </c>
      <c r="H126" s="1">
        <v>140</v>
      </c>
      <c r="I126">
        <v>88.183999999999997</v>
      </c>
      <c r="J126">
        <v>-45.93</v>
      </c>
      <c r="K126" s="1"/>
      <c r="N126" s="1"/>
      <c r="O126" s="1">
        <v>-0.1</v>
      </c>
      <c r="P126">
        <f t="shared" si="10"/>
        <v>87.180523865301097</v>
      </c>
      <c r="Q126">
        <f t="shared" si="11"/>
        <v>88.103016249643986</v>
      </c>
      <c r="R126">
        <f t="shared" si="12"/>
        <v>87.720498424026331</v>
      </c>
      <c r="V126">
        <f t="shared" si="9"/>
        <v>7.3473562119517055E-2</v>
      </c>
      <c r="W126">
        <f t="shared" si="13"/>
        <v>7.3473562119517055E-2</v>
      </c>
      <c r="X126">
        <f t="shared" si="14"/>
        <v>7.3473562119517055E-2</v>
      </c>
    </row>
    <row r="127" spans="1:24">
      <c r="A127">
        <f t="shared" si="8"/>
        <v>193.47</v>
      </c>
      <c r="B127">
        <v>379.8</v>
      </c>
      <c r="C127" s="1">
        <v>30</v>
      </c>
      <c r="D127" s="1">
        <v>125</v>
      </c>
      <c r="E127" s="1">
        <v>26.5</v>
      </c>
      <c r="F127" s="1">
        <v>129</v>
      </c>
      <c r="G127" s="1">
        <v>16</v>
      </c>
      <c r="H127" s="1">
        <v>127</v>
      </c>
      <c r="I127">
        <v>88.441999999999993</v>
      </c>
      <c r="J127">
        <v>-38.64</v>
      </c>
      <c r="K127" s="1"/>
      <c r="N127" s="1"/>
      <c r="O127" s="1">
        <v>-0.1</v>
      </c>
      <c r="P127">
        <f t="shared" si="10"/>
        <v>87.180523865301097</v>
      </c>
      <c r="Q127">
        <f t="shared" si="11"/>
        <v>88.103016249643986</v>
      </c>
      <c r="R127">
        <f t="shared" si="12"/>
        <v>87.720498424026331</v>
      </c>
      <c r="V127">
        <f t="shared" si="9"/>
        <v>-4.1078819391752575</v>
      </c>
      <c r="W127">
        <f t="shared" si="13"/>
        <v>-0.10788193917527167</v>
      </c>
      <c r="X127">
        <f t="shared" si="14"/>
        <v>-2.1078819391752646</v>
      </c>
    </row>
    <row r="128" spans="1:24">
      <c r="A128">
        <f t="shared" si="8"/>
        <v>193.97</v>
      </c>
      <c r="B128">
        <v>390.2</v>
      </c>
      <c r="C128" s="1">
        <v>30.5</v>
      </c>
      <c r="D128" s="1">
        <v>112</v>
      </c>
      <c r="E128" s="1">
        <v>27</v>
      </c>
      <c r="F128" s="1">
        <v>117</v>
      </c>
      <c r="G128" s="1">
        <v>16.100000000000001</v>
      </c>
      <c r="H128" s="1">
        <v>113</v>
      </c>
      <c r="I128">
        <v>88.552000000000007</v>
      </c>
      <c r="J128">
        <v>-32.74</v>
      </c>
      <c r="K128" s="1"/>
      <c r="N128" s="1"/>
      <c r="O128" s="1">
        <v>-0.1</v>
      </c>
      <c r="P128">
        <f t="shared" si="10"/>
        <v>87.324095557843549</v>
      </c>
      <c r="Q128">
        <f t="shared" si="11"/>
        <v>88.265374054087587</v>
      </c>
      <c r="R128">
        <f t="shared" si="12"/>
        <v>87.774616291544831</v>
      </c>
      <c r="V128">
        <f t="shared" si="9"/>
        <v>-5.8564916605218897</v>
      </c>
      <c r="W128">
        <f t="shared" si="13"/>
        <v>-0.85649166052190751</v>
      </c>
      <c r="X128">
        <f t="shared" si="14"/>
        <v>-4.8564916605218933</v>
      </c>
    </row>
    <row r="129" spans="1:24">
      <c r="A129">
        <f t="shared" si="8"/>
        <v>194.47</v>
      </c>
      <c r="B129">
        <v>400.8</v>
      </c>
      <c r="C129" s="1">
        <v>30.5</v>
      </c>
      <c r="D129" s="1">
        <v>100</v>
      </c>
      <c r="E129" s="1">
        <v>27.5</v>
      </c>
      <c r="F129" s="1">
        <v>104</v>
      </c>
      <c r="G129" s="1">
        <v>16.3</v>
      </c>
      <c r="H129" s="1">
        <v>100</v>
      </c>
      <c r="I129">
        <v>88.533000000000001</v>
      </c>
      <c r="J129">
        <v>-30.72</v>
      </c>
      <c r="K129" s="1"/>
      <c r="N129" s="1"/>
      <c r="O129" s="1">
        <v>-0.1</v>
      </c>
      <c r="P129">
        <f t="shared" si="10"/>
        <v>87.324095557843549</v>
      </c>
      <c r="Q129">
        <f t="shared" si="11"/>
        <v>88.424752647513088</v>
      </c>
      <c r="R129">
        <f t="shared" si="12"/>
        <v>87.881850858986994</v>
      </c>
      <c r="V129">
        <f t="shared" si="9"/>
        <v>-6.388728491894291</v>
      </c>
      <c r="W129">
        <f t="shared" si="13"/>
        <v>-2.3887284918943053</v>
      </c>
      <c r="X129">
        <f t="shared" si="14"/>
        <v>-6.388728491894291</v>
      </c>
    </row>
    <row r="130" spans="1:24">
      <c r="A130">
        <f t="shared" si="8"/>
        <v>194.97</v>
      </c>
      <c r="B130">
        <v>411.8</v>
      </c>
      <c r="C130" s="1">
        <v>30.5</v>
      </c>
      <c r="D130" s="1">
        <v>90</v>
      </c>
      <c r="E130" s="1">
        <v>27.5</v>
      </c>
      <c r="F130" s="1">
        <v>90</v>
      </c>
      <c r="G130" s="1">
        <v>16.5</v>
      </c>
      <c r="H130" s="1">
        <v>87</v>
      </c>
      <c r="I130">
        <v>88.456000000000003</v>
      </c>
      <c r="J130">
        <v>-31.96</v>
      </c>
      <c r="K130" s="1"/>
      <c r="N130" s="1"/>
      <c r="O130" s="1">
        <v>-0.1</v>
      </c>
      <c r="P130">
        <f t="shared" si="10"/>
        <v>87.324095557843549</v>
      </c>
      <c r="Q130">
        <f t="shared" si="11"/>
        <v>88.424752647513088</v>
      </c>
      <c r="R130">
        <f t="shared" si="12"/>
        <v>87.987777655185965</v>
      </c>
      <c r="V130">
        <f t="shared" si="9"/>
        <v>-4.4882195433185501</v>
      </c>
      <c r="W130">
        <f t="shared" si="13"/>
        <v>-4.4882195433185501</v>
      </c>
      <c r="X130">
        <f t="shared" si="14"/>
        <v>-7.4882195433185395</v>
      </c>
    </row>
    <row r="131" spans="1:24">
      <c r="A131">
        <f t="shared" si="8"/>
        <v>195.47</v>
      </c>
      <c r="B131">
        <v>423</v>
      </c>
      <c r="C131" s="1">
        <v>31</v>
      </c>
      <c r="D131" s="1">
        <v>78</v>
      </c>
      <c r="E131" s="1">
        <v>27.5</v>
      </c>
      <c r="F131" s="1">
        <v>75</v>
      </c>
      <c r="G131" s="1">
        <v>16.5</v>
      </c>
      <c r="H131" s="1">
        <v>74</v>
      </c>
      <c r="I131">
        <v>88.266999999999996</v>
      </c>
      <c r="J131">
        <v>-33.92</v>
      </c>
      <c r="K131" s="1"/>
      <c r="N131" s="1"/>
      <c r="O131" s="1">
        <v>-0.115</v>
      </c>
      <c r="P131">
        <f t="shared" si="10"/>
        <v>87.480332647593301</v>
      </c>
      <c r="Q131">
        <f t="shared" si="11"/>
        <v>88.439752647513089</v>
      </c>
      <c r="R131">
        <f t="shared" si="12"/>
        <v>88.002777655185966</v>
      </c>
      <c r="V131">
        <f t="shared" si="9"/>
        <v>-4.3713377047687274</v>
      </c>
      <c r="W131">
        <f t="shared" si="13"/>
        <v>-7.3713377047687167</v>
      </c>
      <c r="X131">
        <f t="shared" si="14"/>
        <v>-8.3713377047687132</v>
      </c>
    </row>
    <row r="132" spans="1:24">
      <c r="A132">
        <f t="shared" si="8"/>
        <v>195.97</v>
      </c>
      <c r="B132">
        <v>434.8</v>
      </c>
      <c r="C132" s="1">
        <v>31</v>
      </c>
      <c r="D132" s="1">
        <v>65</v>
      </c>
      <c r="E132" s="1">
        <v>27.5</v>
      </c>
      <c r="F132" s="1">
        <v>60</v>
      </c>
      <c r="G132" s="1">
        <v>16.5</v>
      </c>
      <c r="H132" s="1">
        <v>61</v>
      </c>
      <c r="I132">
        <v>88.093999999999994</v>
      </c>
      <c r="J132">
        <v>-35.65</v>
      </c>
      <c r="K132" s="1"/>
      <c r="N132" s="1"/>
      <c r="O132" s="1">
        <v>-0.17400000000000004</v>
      </c>
      <c r="P132">
        <f t="shared" si="10"/>
        <v>87.539332647593312</v>
      </c>
      <c r="Q132">
        <f t="shared" si="11"/>
        <v>88.498752647513101</v>
      </c>
      <c r="R132">
        <f t="shared" si="12"/>
        <v>88.061777655185978</v>
      </c>
      <c r="V132">
        <f t="shared" si="9"/>
        <v>-4.6053371962965173</v>
      </c>
      <c r="W132">
        <f t="shared" si="13"/>
        <v>-9.6053371962964995</v>
      </c>
      <c r="X132">
        <f t="shared" si="14"/>
        <v>-8.6053371962965031</v>
      </c>
    </row>
    <row r="133" spans="1:24">
      <c r="A133">
        <f t="shared" si="8"/>
        <v>196.47</v>
      </c>
      <c r="B133">
        <v>446.6</v>
      </c>
      <c r="C133" s="1">
        <v>31</v>
      </c>
      <c r="D133" s="1">
        <v>50</v>
      </c>
      <c r="E133" s="1">
        <v>28</v>
      </c>
      <c r="F133" s="1">
        <v>45</v>
      </c>
      <c r="G133" s="1">
        <v>16.5</v>
      </c>
      <c r="H133" s="1">
        <v>46</v>
      </c>
      <c r="I133">
        <v>87.97</v>
      </c>
      <c r="J133">
        <v>-37.32</v>
      </c>
      <c r="K133" s="1"/>
      <c r="N133" s="1"/>
      <c r="O133" s="1">
        <v>-0.2</v>
      </c>
      <c r="P133">
        <f t="shared" si="10"/>
        <v>87.565332647593308</v>
      </c>
      <c r="Q133">
        <f t="shared" si="11"/>
        <v>88.681259397752228</v>
      </c>
      <c r="R133">
        <f t="shared" si="12"/>
        <v>88.087777655185974</v>
      </c>
      <c r="V133">
        <f t="shared" si="9"/>
        <v>-6.8393366878243</v>
      </c>
      <c r="W133">
        <f t="shared" si="13"/>
        <v>-11.839336687824282</v>
      </c>
      <c r="X133">
        <f t="shared" si="14"/>
        <v>-10.839336687824286</v>
      </c>
    </row>
    <row r="134" spans="1:24">
      <c r="A134">
        <f t="shared" si="8"/>
        <v>196.97</v>
      </c>
      <c r="B134">
        <v>458.8</v>
      </c>
      <c r="C134" s="1">
        <v>31.5</v>
      </c>
      <c r="D134" s="1">
        <v>35</v>
      </c>
      <c r="E134" s="1">
        <v>28.5</v>
      </c>
      <c r="F134" s="1">
        <v>30</v>
      </c>
      <c r="G134" s="1">
        <v>16.5</v>
      </c>
      <c r="H134" s="1">
        <v>30</v>
      </c>
      <c r="I134">
        <v>87.906999999999996</v>
      </c>
      <c r="J134">
        <v>-38.39</v>
      </c>
      <c r="K134" s="1"/>
      <c r="N134" s="1"/>
      <c r="O134" s="1">
        <v>-0.2</v>
      </c>
      <c r="P134">
        <f t="shared" si="10"/>
        <v>87.704309846699871</v>
      </c>
      <c r="Q134">
        <f t="shared" si="11"/>
        <v>88.834995971078044</v>
      </c>
      <c r="R134">
        <f t="shared" si="12"/>
        <v>88.087777655185974</v>
      </c>
      <c r="V134">
        <f t="shared" si="9"/>
        <v>-8.6405903994039335</v>
      </c>
      <c r="W134">
        <f t="shared" si="13"/>
        <v>-13.640590399403996</v>
      </c>
      <c r="X134">
        <f t="shared" si="14"/>
        <v>-13.640590399403996</v>
      </c>
    </row>
    <row r="135" spans="1:24">
      <c r="A135">
        <f t="shared" si="8"/>
        <v>197.47</v>
      </c>
      <c r="B135">
        <v>471.4</v>
      </c>
      <c r="C135" s="1">
        <v>32</v>
      </c>
      <c r="D135" s="1">
        <v>18</v>
      </c>
      <c r="E135" s="1">
        <v>29</v>
      </c>
      <c r="F135" s="1">
        <v>17</v>
      </c>
      <c r="G135" s="1">
        <v>16.7</v>
      </c>
      <c r="H135" s="1">
        <v>15</v>
      </c>
      <c r="I135">
        <v>87.921999999999997</v>
      </c>
      <c r="J135">
        <v>-39.74</v>
      </c>
      <c r="K135" s="1"/>
      <c r="N135" s="1"/>
      <c r="O135" s="1">
        <v>-0.2</v>
      </c>
      <c r="P135">
        <f t="shared" si="10"/>
        <v>87.841098337305979</v>
      </c>
      <c r="Q135">
        <f t="shared" si="11"/>
        <v>88.986058728886974</v>
      </c>
      <c r="R135">
        <f t="shared" si="12"/>
        <v>88.192428193859513</v>
      </c>
      <c r="V135">
        <f t="shared" si="9"/>
        <v>-12.009098331035331</v>
      </c>
      <c r="W135">
        <f t="shared" si="13"/>
        <v>-13.009098331035327</v>
      </c>
      <c r="X135">
        <f t="shared" si="14"/>
        <v>-15.00909833103532</v>
      </c>
    </row>
    <row r="136" spans="1:24">
      <c r="A136">
        <f t="shared" si="8"/>
        <v>197.97</v>
      </c>
      <c r="B136">
        <v>484.2</v>
      </c>
      <c r="C136" s="1">
        <v>32</v>
      </c>
      <c r="D136" s="1">
        <v>0</v>
      </c>
      <c r="E136" s="1">
        <v>29</v>
      </c>
      <c r="F136" s="1">
        <v>5</v>
      </c>
      <c r="G136" s="1">
        <v>17</v>
      </c>
      <c r="H136" s="1">
        <v>0</v>
      </c>
      <c r="I136">
        <v>87.935000000000002</v>
      </c>
      <c r="J136">
        <v>-41.09</v>
      </c>
      <c r="K136" s="1"/>
      <c r="N136" s="1"/>
      <c r="O136" s="1">
        <v>-0.2</v>
      </c>
      <c r="P136">
        <f t="shared" si="10"/>
        <v>87.841098337305979</v>
      </c>
      <c r="Q136">
        <f t="shared" si="11"/>
        <v>88.986058728886974</v>
      </c>
      <c r="R136">
        <f t="shared" si="12"/>
        <v>88.347077198473329</v>
      </c>
      <c r="V136">
        <f t="shared" si="9"/>
        <v>-16.161233372692649</v>
      </c>
      <c r="W136">
        <f t="shared" si="13"/>
        <v>-11.161233372692667</v>
      </c>
      <c r="X136">
        <f t="shared" si="14"/>
        <v>-16.161233372692649</v>
      </c>
    </row>
    <row r="137" spans="1:24">
      <c r="A137">
        <f t="shared" si="8"/>
        <v>198.47</v>
      </c>
      <c r="B137">
        <v>497.6</v>
      </c>
      <c r="C137" s="1">
        <v>33</v>
      </c>
      <c r="D137" s="1">
        <v>345</v>
      </c>
      <c r="E137" s="1">
        <v>29</v>
      </c>
      <c r="F137" s="1">
        <v>350</v>
      </c>
      <c r="G137" s="1">
        <v>17.2</v>
      </c>
      <c r="H137" s="1">
        <v>345</v>
      </c>
      <c r="I137">
        <v>87.981999999999999</v>
      </c>
      <c r="J137">
        <v>-41.31</v>
      </c>
      <c r="K137" s="1"/>
      <c r="N137" s="1"/>
      <c r="O137" s="1">
        <v>-0.2</v>
      </c>
      <c r="P137">
        <f t="shared" si="10"/>
        <v>88.108377568465599</v>
      </c>
      <c r="Q137">
        <f t="shared" si="11"/>
        <v>88.986058728886974</v>
      </c>
      <c r="R137">
        <f t="shared" si="12"/>
        <v>88.448667709058824</v>
      </c>
      <c r="V137">
        <f t="shared" si="9"/>
        <v>-16.664249744427675</v>
      </c>
      <c r="W137">
        <f t="shared" si="13"/>
        <v>-11.664249744427693</v>
      </c>
      <c r="X137">
        <f t="shared" si="14"/>
        <v>-16.664249744427675</v>
      </c>
    </row>
    <row r="138" spans="1:24">
      <c r="A138">
        <f t="shared" si="8"/>
        <v>198.97</v>
      </c>
      <c r="B138">
        <v>511.2</v>
      </c>
      <c r="C138" s="1">
        <v>33.5</v>
      </c>
      <c r="D138" s="1">
        <v>335</v>
      </c>
      <c r="E138" s="1">
        <v>30</v>
      </c>
      <c r="F138" s="1">
        <v>333</v>
      </c>
      <c r="G138" s="1">
        <v>17.3</v>
      </c>
      <c r="H138" s="1">
        <v>330</v>
      </c>
      <c r="I138">
        <v>88.049000000000007</v>
      </c>
      <c r="J138">
        <v>-41.39</v>
      </c>
      <c r="K138" s="1"/>
      <c r="N138" s="1"/>
      <c r="O138" s="1">
        <v>-0.2</v>
      </c>
      <c r="P138">
        <f t="shared" si="10"/>
        <v>88.238994911644753</v>
      </c>
      <c r="Q138">
        <f t="shared" si="11"/>
        <v>89.280523865301092</v>
      </c>
      <c r="R138">
        <f t="shared" si="12"/>
        <v>88.499020833483755</v>
      </c>
      <c r="V138">
        <f t="shared" si="9"/>
        <v>-11.950893226188484</v>
      </c>
      <c r="W138">
        <f t="shared" si="13"/>
        <v>-13.950893226188477</v>
      </c>
      <c r="X138">
        <f t="shared" si="14"/>
        <v>-16.950893226188626</v>
      </c>
    </row>
    <row r="139" spans="1:24">
      <c r="A139">
        <f t="shared" si="8"/>
        <v>199.47</v>
      </c>
      <c r="B139">
        <v>525.20000000000005</v>
      </c>
      <c r="C139" s="1">
        <v>34</v>
      </c>
      <c r="D139" s="1">
        <v>320</v>
      </c>
      <c r="E139" s="1">
        <v>30.5</v>
      </c>
      <c r="F139" s="1">
        <v>316</v>
      </c>
      <c r="G139" s="1">
        <v>17.5</v>
      </c>
      <c r="H139" s="1">
        <v>315</v>
      </c>
      <c r="I139">
        <v>88.239000000000004</v>
      </c>
      <c r="J139">
        <v>-43.25</v>
      </c>
      <c r="K139" s="1"/>
      <c r="N139" s="1"/>
      <c r="O139" s="1">
        <v>-0.2</v>
      </c>
      <c r="P139">
        <f t="shared" si="10"/>
        <v>88.367677111752954</v>
      </c>
      <c r="Q139">
        <f t="shared" si="11"/>
        <v>89.424095557843557</v>
      </c>
      <c r="R139">
        <f t="shared" si="12"/>
        <v>88.598859744633728</v>
      </c>
      <c r="V139">
        <f t="shared" si="9"/>
        <v>-11.804790928001125</v>
      </c>
      <c r="W139">
        <f t="shared" si="13"/>
        <v>-15.804790928001111</v>
      </c>
      <c r="X139">
        <f t="shared" si="14"/>
        <v>-16.804790928001268</v>
      </c>
    </row>
    <row r="140" spans="1:24">
      <c r="A140">
        <f t="shared" si="8"/>
        <v>199.97</v>
      </c>
      <c r="B140">
        <v>539.6</v>
      </c>
      <c r="C140" s="1">
        <v>34</v>
      </c>
      <c r="D140" s="1">
        <v>300</v>
      </c>
      <c r="E140" s="1">
        <v>30.5</v>
      </c>
      <c r="F140" s="1">
        <v>299</v>
      </c>
      <c r="G140" s="1">
        <v>17.8</v>
      </c>
      <c r="H140" s="1">
        <v>298</v>
      </c>
      <c r="I140">
        <v>88.442999999999998</v>
      </c>
      <c r="J140">
        <v>-46.75</v>
      </c>
      <c r="K140" s="1"/>
      <c r="N140" s="1"/>
      <c r="O140" s="1">
        <v>-0.2</v>
      </c>
      <c r="P140">
        <f t="shared" si="10"/>
        <v>88.367677111752954</v>
      </c>
      <c r="Q140">
        <f t="shared" si="11"/>
        <v>89.424095557843557</v>
      </c>
      <c r="R140">
        <f t="shared" si="12"/>
        <v>88.746498817085737</v>
      </c>
      <c r="V140">
        <f t="shared" si="9"/>
        <v>-16.2259428498656</v>
      </c>
      <c r="W140">
        <f t="shared" si="13"/>
        <v>-17.225942849865596</v>
      </c>
      <c r="X140">
        <f t="shared" si="14"/>
        <v>-18.225942849865753</v>
      </c>
    </row>
    <row r="141" spans="1:24">
      <c r="A141">
        <f t="shared" si="8"/>
        <v>200.47</v>
      </c>
      <c r="B141">
        <v>554.4</v>
      </c>
      <c r="C141" s="1">
        <v>35</v>
      </c>
      <c r="D141" s="1">
        <v>280</v>
      </c>
      <c r="E141" s="1">
        <v>31</v>
      </c>
      <c r="F141" s="1">
        <v>282</v>
      </c>
      <c r="G141" s="1">
        <v>18.5</v>
      </c>
      <c r="H141" s="1">
        <v>280</v>
      </c>
      <c r="I141">
        <v>88.546999999999997</v>
      </c>
      <c r="J141">
        <v>-50.76</v>
      </c>
      <c r="K141" s="1"/>
      <c r="N141" s="1"/>
      <c r="O141" s="1">
        <v>-0.2</v>
      </c>
      <c r="P141">
        <f t="shared" si="10"/>
        <v>88.619459657913367</v>
      </c>
      <c r="Q141">
        <f t="shared" si="11"/>
        <v>89.565332647593308</v>
      </c>
      <c r="R141">
        <f t="shared" si="12"/>
        <v>89.081533338968114</v>
      </c>
      <c r="V141">
        <f t="shared" si="9"/>
        <v>-20.214348991781925</v>
      </c>
      <c r="W141">
        <f t="shared" si="13"/>
        <v>-18.214348991781932</v>
      </c>
      <c r="X141">
        <f t="shared" si="14"/>
        <v>-20.214348991781925</v>
      </c>
    </row>
    <row r="142" spans="1:24">
      <c r="A142">
        <f t="shared" si="8"/>
        <v>200.97</v>
      </c>
      <c r="B142">
        <v>569.6</v>
      </c>
      <c r="C142" s="1">
        <v>36</v>
      </c>
      <c r="D142" s="1">
        <v>260</v>
      </c>
      <c r="E142" s="1">
        <v>32</v>
      </c>
      <c r="F142" s="1">
        <v>265</v>
      </c>
      <c r="G142" s="1">
        <v>18.8</v>
      </c>
      <c r="H142" s="1">
        <v>262</v>
      </c>
      <c r="I142">
        <v>88.519000000000005</v>
      </c>
      <c r="J142">
        <v>-54.61</v>
      </c>
      <c r="K142" s="1"/>
      <c r="N142" s="1"/>
      <c r="O142" s="1">
        <v>-0.2</v>
      </c>
      <c r="P142">
        <f t="shared" si="10"/>
        <v>88.864148786253608</v>
      </c>
      <c r="Q142">
        <f t="shared" si="11"/>
        <v>89.841098337305965</v>
      </c>
      <c r="R142">
        <f t="shared" si="12"/>
        <v>89.221255756181449</v>
      </c>
      <c r="V142">
        <f t="shared" si="9"/>
        <v>-23.770009353749941</v>
      </c>
      <c r="W142">
        <f t="shared" si="13"/>
        <v>-18.770009353749959</v>
      </c>
      <c r="X142">
        <f t="shared" si="14"/>
        <v>-21.770009353749948</v>
      </c>
    </row>
    <row r="143" spans="1:24">
      <c r="A143">
        <f t="shared" si="8"/>
        <v>201.47</v>
      </c>
      <c r="B143">
        <v>585</v>
      </c>
      <c r="C143" s="1">
        <v>36</v>
      </c>
      <c r="D143" s="1">
        <v>245</v>
      </c>
      <c r="E143" s="1">
        <v>32.5</v>
      </c>
      <c r="F143" s="1">
        <v>248</v>
      </c>
      <c r="G143" s="1">
        <v>19</v>
      </c>
      <c r="H143" s="1">
        <v>244</v>
      </c>
      <c r="I143">
        <v>88.537000000000006</v>
      </c>
      <c r="J143">
        <v>-58.91</v>
      </c>
      <c r="K143" s="1"/>
      <c r="N143" s="1"/>
      <c r="O143" s="1">
        <v>-0.2</v>
      </c>
      <c r="P143">
        <f t="shared" si="10"/>
        <v>88.864148786253608</v>
      </c>
      <c r="Q143">
        <f t="shared" si="11"/>
        <v>89.975765990485328</v>
      </c>
      <c r="R143">
        <f t="shared" si="12"/>
        <v>89.313170789964417</v>
      </c>
      <c r="V143">
        <f t="shared" si="9"/>
        <v>-22.1092968257439</v>
      </c>
      <c r="W143">
        <f t="shared" si="13"/>
        <v>-19.109296825743911</v>
      </c>
      <c r="X143">
        <f t="shared" si="14"/>
        <v>-23.109296825743897</v>
      </c>
    </row>
    <row r="144" spans="1:24">
      <c r="A144">
        <f t="shared" si="8"/>
        <v>201.97</v>
      </c>
      <c r="B144">
        <v>601</v>
      </c>
      <c r="C144" s="1">
        <v>36.5</v>
      </c>
      <c r="D144" s="1">
        <v>230</v>
      </c>
      <c r="E144" s="1">
        <v>33</v>
      </c>
      <c r="F144" s="1">
        <v>230</v>
      </c>
      <c r="G144" s="1">
        <v>19.2</v>
      </c>
      <c r="H144" s="1">
        <v>225</v>
      </c>
      <c r="I144">
        <v>88.465000000000003</v>
      </c>
      <c r="J144">
        <v>-63.32</v>
      </c>
      <c r="K144" s="1"/>
      <c r="N144" s="1"/>
      <c r="O144" s="1">
        <v>-0.19750000000000001</v>
      </c>
      <c r="P144">
        <f t="shared" si="10"/>
        <v>88.981456060037345</v>
      </c>
      <c r="Q144">
        <f t="shared" si="11"/>
        <v>90.105877568465601</v>
      </c>
      <c r="R144">
        <f t="shared" si="12"/>
        <v>89.401623344978844</v>
      </c>
      <c r="V144">
        <f t="shared" si="9"/>
        <v>-19.799465627815636</v>
      </c>
      <c r="W144">
        <f t="shared" si="13"/>
        <v>-19.799465627815636</v>
      </c>
      <c r="X144">
        <f t="shared" si="14"/>
        <v>-24.799465627815458</v>
      </c>
    </row>
    <row r="145" spans="1:24">
      <c r="A145">
        <f t="shared" si="8"/>
        <v>202.47</v>
      </c>
      <c r="B145">
        <v>617.6</v>
      </c>
      <c r="C145" s="1">
        <v>37</v>
      </c>
      <c r="D145" s="1">
        <v>210</v>
      </c>
      <c r="E145" s="1">
        <v>34</v>
      </c>
      <c r="F145" s="1">
        <v>210</v>
      </c>
      <c r="G145" s="1">
        <v>19.8</v>
      </c>
      <c r="H145" s="1">
        <v>205</v>
      </c>
      <c r="I145">
        <v>88.293999999999997</v>
      </c>
      <c r="J145">
        <v>-66.319999999999993</v>
      </c>
      <c r="K145" s="1"/>
      <c r="N145" s="1"/>
      <c r="O145" s="1">
        <v>-0.15599999999999994</v>
      </c>
      <c r="P145">
        <f t="shared" si="10"/>
        <v>89.058133252247757</v>
      </c>
      <c r="Q145">
        <f t="shared" si="11"/>
        <v>90.323677111752943</v>
      </c>
      <c r="R145">
        <f t="shared" si="12"/>
        <v>89.627402576138465</v>
      </c>
      <c r="V145">
        <f t="shared" si="9"/>
        <v>-21.840515759964809</v>
      </c>
      <c r="W145">
        <f t="shared" si="13"/>
        <v>-21.840515759964809</v>
      </c>
      <c r="X145">
        <f t="shared" si="14"/>
        <v>-26.840515759964951</v>
      </c>
    </row>
    <row r="146" spans="1:24">
      <c r="A146">
        <f t="shared" si="8"/>
        <v>202.97</v>
      </c>
      <c r="B146">
        <v>634.6</v>
      </c>
      <c r="C146" s="1">
        <v>38</v>
      </c>
      <c r="D146" s="1">
        <v>190</v>
      </c>
      <c r="E146" s="1">
        <v>34.5</v>
      </c>
      <c r="F146" s="1">
        <v>190</v>
      </c>
      <c r="G146" s="1">
        <v>20</v>
      </c>
      <c r="H146" s="1">
        <v>185</v>
      </c>
      <c r="I146">
        <v>88.04</v>
      </c>
      <c r="J146">
        <v>-66.94</v>
      </c>
      <c r="K146" s="1"/>
      <c r="N146" s="1"/>
      <c r="O146" s="1">
        <v>-0.11349999999999995</v>
      </c>
      <c r="P146">
        <f t="shared" si="10"/>
        <v>89.247270703244041</v>
      </c>
      <c r="Q146">
        <f t="shared" si="11"/>
        <v>90.407980672373327</v>
      </c>
      <c r="R146">
        <f t="shared" si="12"/>
        <v>89.672198684187464</v>
      </c>
      <c r="V146">
        <f t="shared" si="9"/>
        <v>-23.448820112165993</v>
      </c>
      <c r="W146">
        <f t="shared" si="13"/>
        <v>-23.448820112165993</v>
      </c>
      <c r="X146">
        <f t="shared" si="14"/>
        <v>-28.448820112165976</v>
      </c>
    </row>
    <row r="147" spans="1:24">
      <c r="A147">
        <f t="shared" si="8"/>
        <v>203.47</v>
      </c>
      <c r="B147">
        <v>652</v>
      </c>
      <c r="C147" s="1">
        <v>38</v>
      </c>
      <c r="D147" s="1">
        <v>170</v>
      </c>
      <c r="E147" s="1">
        <v>35</v>
      </c>
      <c r="F147" s="1">
        <v>170</v>
      </c>
      <c r="G147" s="1">
        <v>20.2</v>
      </c>
      <c r="H147" s="1">
        <v>165</v>
      </c>
      <c r="I147">
        <v>87.769000000000005</v>
      </c>
      <c r="J147">
        <v>-67.81</v>
      </c>
      <c r="K147" s="1"/>
      <c r="N147" s="1"/>
      <c r="O147" s="1">
        <v>-0.1</v>
      </c>
      <c r="P147">
        <f t="shared" si="10"/>
        <v>89.233770703244033</v>
      </c>
      <c r="Q147">
        <f t="shared" si="11"/>
        <v>90.519459657913345</v>
      </c>
      <c r="R147">
        <f t="shared" si="12"/>
        <v>89.745126159840325</v>
      </c>
      <c r="V147">
        <f t="shared" si="9"/>
        <v>-24.624378684418868</v>
      </c>
      <c r="W147">
        <f t="shared" si="13"/>
        <v>-24.624378684418868</v>
      </c>
      <c r="X147">
        <f t="shared" si="14"/>
        <v>-29.624378684418851</v>
      </c>
    </row>
    <row r="148" spans="1:24">
      <c r="A148">
        <f t="shared" ref="A148:A211" si="15">+A147+0.5</f>
        <v>203.97</v>
      </c>
      <c r="B148">
        <v>669.8</v>
      </c>
      <c r="C148" s="1">
        <v>38</v>
      </c>
      <c r="D148" s="1">
        <v>145</v>
      </c>
      <c r="E148" s="1">
        <v>35</v>
      </c>
      <c r="F148" s="1">
        <v>148</v>
      </c>
      <c r="G148" s="1">
        <v>20.8</v>
      </c>
      <c r="H148" s="1">
        <v>145</v>
      </c>
      <c r="I148">
        <v>87.492999999999995</v>
      </c>
      <c r="J148">
        <v>-70.02</v>
      </c>
      <c r="K148" s="1"/>
      <c r="N148" s="1"/>
      <c r="O148" s="1">
        <v>-0.1</v>
      </c>
      <c r="P148">
        <f t="shared" si="10"/>
        <v>89.233770703244033</v>
      </c>
      <c r="Q148">
        <f t="shared" si="11"/>
        <v>90.519459657913345</v>
      </c>
      <c r="R148">
        <f t="shared" si="12"/>
        <v>89.99936547016307</v>
      </c>
      <c r="V148">
        <f t="shared" si="9"/>
        <v>-30.367191476723576</v>
      </c>
      <c r="W148">
        <f t="shared" si="13"/>
        <v>-27.367191476723587</v>
      </c>
      <c r="X148">
        <f t="shared" si="14"/>
        <v>-30.367191476723576</v>
      </c>
    </row>
    <row r="149" spans="1:24">
      <c r="A149">
        <f t="shared" si="15"/>
        <v>204.47</v>
      </c>
      <c r="B149">
        <v>688</v>
      </c>
      <c r="C149" s="1">
        <v>39</v>
      </c>
      <c r="D149" s="1">
        <v>120</v>
      </c>
      <c r="E149" s="1">
        <v>35</v>
      </c>
      <c r="F149" s="1">
        <v>124</v>
      </c>
      <c r="G149" s="1">
        <v>21.5</v>
      </c>
      <c r="H149" s="1">
        <v>123</v>
      </c>
      <c r="I149">
        <v>87.254999999999995</v>
      </c>
      <c r="J149">
        <v>-72.31</v>
      </c>
      <c r="K149" s="1"/>
      <c r="N149" s="1"/>
      <c r="O149" s="1">
        <v>-0.08</v>
      </c>
      <c r="P149">
        <f t="shared" si="10"/>
        <v>89.439390911437826</v>
      </c>
      <c r="Q149">
        <f t="shared" si="11"/>
        <v>90.499459657913349</v>
      </c>
      <c r="R149">
        <f t="shared" si="12"/>
        <v>90.266867969219959</v>
      </c>
      <c r="V149">
        <f t="shared" si="9"/>
        <v>-35.677258489079975</v>
      </c>
      <c r="W149">
        <f t="shared" si="13"/>
        <v>-31.677258489079989</v>
      </c>
      <c r="X149">
        <f t="shared" si="14"/>
        <v>-32.677258489079989</v>
      </c>
    </row>
    <row r="150" spans="1:24">
      <c r="A150">
        <f t="shared" si="15"/>
        <v>204.97</v>
      </c>
      <c r="B150">
        <v>707</v>
      </c>
      <c r="C150" s="1">
        <v>39</v>
      </c>
      <c r="D150" s="1">
        <v>100</v>
      </c>
      <c r="E150" s="1">
        <v>35.5</v>
      </c>
      <c r="F150" s="1">
        <v>100</v>
      </c>
      <c r="G150" s="1">
        <v>22</v>
      </c>
      <c r="H150" s="1">
        <v>100</v>
      </c>
      <c r="I150">
        <v>87.087000000000003</v>
      </c>
      <c r="J150">
        <v>-74.73</v>
      </c>
      <c r="K150" s="1"/>
      <c r="N150" s="1"/>
      <c r="O150" s="1">
        <v>-3.2500000000000001E-2</v>
      </c>
      <c r="P150">
        <f t="shared" si="10"/>
        <v>89.391890911437827</v>
      </c>
      <c r="Q150">
        <f t="shared" si="11"/>
        <v>90.575165832009716</v>
      </c>
      <c r="R150">
        <f t="shared" si="12"/>
        <v>90.419052387351968</v>
      </c>
      <c r="V150">
        <f t="shared" si="9"/>
        <v>-35.121833941540089</v>
      </c>
      <c r="W150">
        <f t="shared" si="13"/>
        <v>-35.121833941540089</v>
      </c>
      <c r="X150">
        <f t="shared" si="14"/>
        <v>-35.121833941540089</v>
      </c>
    </row>
    <row r="151" spans="1:24">
      <c r="A151">
        <f t="shared" si="15"/>
        <v>205.47</v>
      </c>
      <c r="B151">
        <v>726.4</v>
      </c>
      <c r="C151" s="1">
        <v>39</v>
      </c>
      <c r="D151" s="1">
        <v>75</v>
      </c>
      <c r="E151" s="1">
        <v>36</v>
      </c>
      <c r="F151" s="1">
        <v>75</v>
      </c>
      <c r="G151" s="1">
        <v>22</v>
      </c>
      <c r="H151" s="1">
        <v>72</v>
      </c>
      <c r="I151">
        <v>86.888999999999996</v>
      </c>
      <c r="J151">
        <v>-76.459999999999994</v>
      </c>
      <c r="K151" s="1"/>
      <c r="N151" s="1"/>
      <c r="O151" s="1">
        <v>1.2799999999999957E-2</v>
      </c>
      <c r="P151">
        <f t="shared" si="10"/>
        <v>89.346590911437829</v>
      </c>
      <c r="Q151">
        <f t="shared" si="11"/>
        <v>90.651348786253592</v>
      </c>
      <c r="R151">
        <f t="shared" si="12"/>
        <v>90.373752387351971</v>
      </c>
      <c r="V151">
        <f t="shared" si="9"/>
        <v>-39.133663614051883</v>
      </c>
      <c r="W151">
        <f t="shared" si="13"/>
        <v>-39.133663614051883</v>
      </c>
      <c r="X151">
        <f t="shared" si="14"/>
        <v>-42.133663614051869</v>
      </c>
    </row>
    <row r="152" spans="1:24">
      <c r="A152">
        <f t="shared" si="15"/>
        <v>205.97</v>
      </c>
      <c r="B152">
        <v>746.2</v>
      </c>
      <c r="C152" s="1">
        <v>40</v>
      </c>
      <c r="D152" s="1">
        <v>50</v>
      </c>
      <c r="E152" s="1">
        <v>36</v>
      </c>
      <c r="F152" s="1">
        <v>50</v>
      </c>
      <c r="G152" s="1">
        <v>22</v>
      </c>
      <c r="H152" s="1">
        <v>40</v>
      </c>
      <c r="I152">
        <v>86.781000000000006</v>
      </c>
      <c r="J152">
        <v>-77.58</v>
      </c>
      <c r="K152" s="1"/>
      <c r="N152" s="1"/>
      <c r="O152" s="1">
        <v>5.2400000000000092E-2</v>
      </c>
      <c r="P152">
        <f t="shared" si="10"/>
        <v>89.526898597467095</v>
      </c>
      <c r="Q152">
        <f t="shared" si="11"/>
        <v>90.611748786253585</v>
      </c>
      <c r="R152">
        <f t="shared" si="12"/>
        <v>90.334152387351963</v>
      </c>
      <c r="V152">
        <f t="shared" si="9"/>
        <v>-42.712747506615528</v>
      </c>
      <c r="W152">
        <f t="shared" si="13"/>
        <v>-42.712747506615528</v>
      </c>
      <c r="X152">
        <f t="shared" si="14"/>
        <v>-52.712747506615486</v>
      </c>
    </row>
    <row r="153" spans="1:24">
      <c r="A153">
        <f t="shared" si="15"/>
        <v>206.47</v>
      </c>
      <c r="B153">
        <v>766.6</v>
      </c>
      <c r="C153" s="1">
        <v>40</v>
      </c>
      <c r="D153" s="1">
        <v>25</v>
      </c>
      <c r="E153" s="1">
        <v>36</v>
      </c>
      <c r="F153" s="1">
        <v>23</v>
      </c>
      <c r="G153" s="1">
        <v>22</v>
      </c>
      <c r="H153" s="1">
        <v>10</v>
      </c>
      <c r="I153">
        <v>86.697000000000003</v>
      </c>
      <c r="J153">
        <v>-79.069999999999993</v>
      </c>
      <c r="K153" s="1"/>
      <c r="N153" s="1"/>
      <c r="O153" s="1">
        <v>9.3200000000000061E-2</v>
      </c>
      <c r="P153">
        <f t="shared" si="10"/>
        <v>89.486098597467105</v>
      </c>
      <c r="Q153">
        <f t="shared" si="11"/>
        <v>90.570948786253595</v>
      </c>
      <c r="R153">
        <f t="shared" si="12"/>
        <v>90.293352387351973</v>
      </c>
      <c r="V153">
        <f t="shared" si="9"/>
        <v>-45.642712729256786</v>
      </c>
      <c r="W153">
        <f t="shared" si="13"/>
        <v>-47.642712729256935</v>
      </c>
      <c r="X153">
        <f t="shared" si="14"/>
        <v>-60.642712729256885</v>
      </c>
    </row>
    <row r="154" spans="1:24">
      <c r="A154">
        <f t="shared" si="15"/>
        <v>206.97</v>
      </c>
      <c r="B154">
        <v>787.6</v>
      </c>
      <c r="C154" s="1">
        <v>40</v>
      </c>
      <c r="D154" s="1">
        <v>0</v>
      </c>
      <c r="E154" s="1">
        <v>36</v>
      </c>
      <c r="F154" s="1">
        <v>355</v>
      </c>
      <c r="G154" s="1">
        <v>22</v>
      </c>
      <c r="H154" s="1">
        <v>345</v>
      </c>
      <c r="I154">
        <v>86.614999999999995</v>
      </c>
      <c r="J154">
        <v>-80.33</v>
      </c>
      <c r="K154" s="1"/>
      <c r="N154" s="1"/>
      <c r="O154" s="1">
        <v>0.1</v>
      </c>
      <c r="P154">
        <f t="shared" si="10"/>
        <v>89.479298597467107</v>
      </c>
      <c r="Q154">
        <f t="shared" si="11"/>
        <v>90.564148786253597</v>
      </c>
      <c r="R154">
        <f t="shared" si="12"/>
        <v>90.286552387351975</v>
      </c>
      <c r="V154">
        <f t="shared" si="9"/>
        <v>-47.923559281975812</v>
      </c>
      <c r="W154">
        <f t="shared" si="13"/>
        <v>-52.923559281975798</v>
      </c>
      <c r="X154">
        <f t="shared" si="14"/>
        <v>-62.923559281975763</v>
      </c>
    </row>
    <row r="155" spans="1:24">
      <c r="A155">
        <f t="shared" si="15"/>
        <v>207.47</v>
      </c>
      <c r="B155">
        <v>809.2</v>
      </c>
      <c r="C155" s="1">
        <v>40</v>
      </c>
      <c r="D155" s="1">
        <v>335</v>
      </c>
      <c r="E155" s="1">
        <v>36.5</v>
      </c>
      <c r="F155" s="1">
        <v>325</v>
      </c>
      <c r="G155" s="1">
        <v>21.5</v>
      </c>
      <c r="H155" s="1">
        <v>320</v>
      </c>
      <c r="I155">
        <v>86.637</v>
      </c>
      <c r="J155">
        <v>-80.28</v>
      </c>
      <c r="K155" s="1"/>
      <c r="N155" s="1"/>
      <c r="O155" s="1">
        <v>0.1</v>
      </c>
      <c r="P155">
        <f t="shared" si="10"/>
        <v>89.479298597467107</v>
      </c>
      <c r="Q155">
        <f t="shared" si="11"/>
        <v>90.683956060037332</v>
      </c>
      <c r="R155">
        <f t="shared" si="12"/>
        <v>90.086867969219966</v>
      </c>
      <c r="V155">
        <f t="shared" si="9"/>
        <v>-49.555287164772466</v>
      </c>
      <c r="W155">
        <f t="shared" si="13"/>
        <v>-59.555287164772594</v>
      </c>
      <c r="X155">
        <f t="shared" si="14"/>
        <v>-64.555287164772579</v>
      </c>
    </row>
    <row r="156" spans="1:24">
      <c r="A156">
        <f t="shared" si="15"/>
        <v>207.97</v>
      </c>
      <c r="B156">
        <v>831.4</v>
      </c>
      <c r="C156" s="1">
        <v>39.5</v>
      </c>
      <c r="D156" s="1">
        <v>310</v>
      </c>
      <c r="E156" s="1">
        <v>35.5</v>
      </c>
      <c r="F156" s="1">
        <v>300</v>
      </c>
      <c r="G156" s="1">
        <v>21</v>
      </c>
      <c r="H156" s="1">
        <v>290</v>
      </c>
      <c r="I156">
        <v>86.828000000000003</v>
      </c>
      <c r="J156">
        <v>-79.27</v>
      </c>
      <c r="K156" s="1"/>
      <c r="N156" s="1"/>
      <c r="O156" s="1">
        <v>7.7200000000000046E-2</v>
      </c>
      <c r="P156">
        <f t="shared" si="10"/>
        <v>89.392840683437043</v>
      </c>
      <c r="Q156">
        <f t="shared" si="11"/>
        <v>90.465465832009713</v>
      </c>
      <c r="R156">
        <f t="shared" si="12"/>
        <v>89.905284665586223</v>
      </c>
      <c r="V156">
        <f t="shared" si="9"/>
        <v>-50.537896377647051</v>
      </c>
      <c r="W156">
        <f t="shared" si="13"/>
        <v>-60.537896377647016</v>
      </c>
      <c r="X156">
        <f t="shared" si="14"/>
        <v>-70.537896377646973</v>
      </c>
    </row>
    <row r="157" spans="1:24">
      <c r="A157">
        <f t="shared" si="15"/>
        <v>208.47</v>
      </c>
      <c r="B157">
        <v>854</v>
      </c>
      <c r="C157" s="1">
        <v>39.5</v>
      </c>
      <c r="D157" s="1">
        <v>275</v>
      </c>
      <c r="E157" s="1">
        <v>34.5</v>
      </c>
      <c r="F157" s="1">
        <v>275</v>
      </c>
      <c r="G157" s="1">
        <v>20</v>
      </c>
      <c r="H157" s="1">
        <v>260</v>
      </c>
      <c r="I157">
        <v>87.244</v>
      </c>
      <c r="J157">
        <v>-79.239999999999995</v>
      </c>
      <c r="K157" s="1"/>
      <c r="N157" s="1"/>
      <c r="O157" s="1">
        <v>3.2000000000000001E-2</v>
      </c>
      <c r="P157">
        <f t="shared" si="10"/>
        <v>89.438040683437052</v>
      </c>
      <c r="Q157">
        <f t="shared" si="11"/>
        <v>90.262480672373329</v>
      </c>
      <c r="R157">
        <f t="shared" si="12"/>
        <v>89.526698684187465</v>
      </c>
      <c r="V157">
        <f t="shared" si="9"/>
        <v>-61.087759810573132</v>
      </c>
      <c r="W157">
        <f t="shared" si="13"/>
        <v>-61.087759810573132</v>
      </c>
      <c r="X157">
        <f t="shared" si="14"/>
        <v>-76.087759810573075</v>
      </c>
    </row>
    <row r="158" spans="1:24">
      <c r="A158">
        <f t="shared" si="15"/>
        <v>208.97</v>
      </c>
      <c r="B158">
        <v>877.4</v>
      </c>
      <c r="C158" s="1">
        <v>38.5</v>
      </c>
      <c r="D158" s="1">
        <v>245</v>
      </c>
      <c r="E158" s="1">
        <v>33</v>
      </c>
      <c r="F158" s="1">
        <v>245</v>
      </c>
      <c r="G158" s="1">
        <v>19</v>
      </c>
      <c r="H158" s="1">
        <v>230</v>
      </c>
      <c r="I158">
        <v>87.72</v>
      </c>
      <c r="J158">
        <v>-82.53</v>
      </c>
      <c r="K158" s="1"/>
      <c r="N158" s="1"/>
      <c r="O158" s="1">
        <v>0</v>
      </c>
      <c r="P158">
        <f t="shared" si="10"/>
        <v>89.247313361077858</v>
      </c>
      <c r="Q158">
        <f t="shared" si="11"/>
        <v>89.908377568465596</v>
      </c>
      <c r="R158">
        <f t="shared" si="12"/>
        <v>89.113170789964414</v>
      </c>
      <c r="V158">
        <f t="shared" si="9"/>
        <v>-65.772131683603092</v>
      </c>
      <c r="W158">
        <f t="shared" si="13"/>
        <v>-65.772131683603092</v>
      </c>
      <c r="X158">
        <f t="shared" si="14"/>
        <v>-80.772131683603035</v>
      </c>
    </row>
    <row r="159" spans="1:24">
      <c r="A159">
        <f t="shared" si="15"/>
        <v>209.47</v>
      </c>
      <c r="B159">
        <v>901.6</v>
      </c>
      <c r="C159" s="1">
        <v>37.5</v>
      </c>
      <c r="D159" s="1">
        <v>220</v>
      </c>
      <c r="E159" s="1">
        <v>31</v>
      </c>
      <c r="F159" s="1">
        <v>213</v>
      </c>
      <c r="G159" s="1">
        <v>18</v>
      </c>
      <c r="H159" s="1">
        <v>205</v>
      </c>
      <c r="I159">
        <v>88.15</v>
      </c>
      <c r="J159">
        <v>-86.24</v>
      </c>
      <c r="K159" s="1"/>
      <c r="N159" s="1"/>
      <c r="O159" s="1">
        <v>0</v>
      </c>
      <c r="P159">
        <f t="shared" si="10"/>
        <v>89.018724125462228</v>
      </c>
      <c r="Q159">
        <f t="shared" si="11"/>
        <v>89.365332647593306</v>
      </c>
      <c r="R159">
        <f t="shared" si="12"/>
        <v>88.643548872973966</v>
      </c>
      <c r="V159">
        <f t="shared" si="9"/>
        <v>-64.591011996736285</v>
      </c>
      <c r="W159">
        <f t="shared" si="13"/>
        <v>-71.59101199673627</v>
      </c>
      <c r="X159">
        <f t="shared" si="14"/>
        <v>-79.591011996736398</v>
      </c>
    </row>
    <row r="160" spans="1:24">
      <c r="A160">
        <f t="shared" si="15"/>
        <v>209.97</v>
      </c>
      <c r="B160">
        <v>926.2</v>
      </c>
      <c r="C160" s="1">
        <v>37</v>
      </c>
      <c r="D160" s="1">
        <v>192</v>
      </c>
      <c r="E160" s="1">
        <v>29</v>
      </c>
      <c r="F160" s="1">
        <v>182</v>
      </c>
      <c r="G160" s="1">
        <v>17</v>
      </c>
      <c r="H160" s="1">
        <v>175</v>
      </c>
      <c r="I160">
        <v>88.531000000000006</v>
      </c>
      <c r="J160">
        <v>-87.94</v>
      </c>
      <c r="K160" s="1"/>
      <c r="N160" s="1"/>
      <c r="O160" s="1">
        <v>0</v>
      </c>
      <c r="P160">
        <f t="shared" si="10"/>
        <v>88.902133252247751</v>
      </c>
      <c r="Q160">
        <f t="shared" si="11"/>
        <v>88.786058728886971</v>
      </c>
      <c r="R160">
        <f t="shared" si="12"/>
        <v>88.147077198473326</v>
      </c>
      <c r="V160">
        <f t="shared" si="9"/>
        <v>-65.977146529921328</v>
      </c>
      <c r="W160">
        <f t="shared" si="13"/>
        <v>-75.977146529921299</v>
      </c>
      <c r="X160">
        <f t="shared" si="14"/>
        <v>-82.977146529921271</v>
      </c>
    </row>
    <row r="161" spans="1:24">
      <c r="A161">
        <f t="shared" si="15"/>
        <v>210.47</v>
      </c>
      <c r="B161">
        <v>951.4</v>
      </c>
      <c r="C161" s="1">
        <v>36</v>
      </c>
      <c r="D161" s="1">
        <v>160</v>
      </c>
      <c r="E161" s="1">
        <v>27</v>
      </c>
      <c r="F161" s="1">
        <v>150</v>
      </c>
      <c r="G161" s="1">
        <v>15</v>
      </c>
      <c r="H161" s="1">
        <v>145</v>
      </c>
      <c r="I161">
        <v>88.635000000000005</v>
      </c>
      <c r="J161">
        <v>-89.81</v>
      </c>
      <c r="K161" s="1"/>
      <c r="N161" s="1"/>
      <c r="O161" s="1">
        <v>0</v>
      </c>
      <c r="P161">
        <f t="shared" si="10"/>
        <v>88.664148786253605</v>
      </c>
      <c r="Q161">
        <f t="shared" si="11"/>
        <v>88.165374054087593</v>
      </c>
      <c r="R161">
        <f t="shared" si="12"/>
        <v>87.059923952021464</v>
      </c>
      <c r="V161">
        <f t="shared" si="9"/>
        <v>-70.714162393184125</v>
      </c>
      <c r="W161">
        <f t="shared" si="13"/>
        <v>-80.714162393184253</v>
      </c>
      <c r="X161">
        <f t="shared" si="14"/>
        <v>-85.714162393184239</v>
      </c>
    </row>
    <row r="162" spans="1:24">
      <c r="A162">
        <f t="shared" si="15"/>
        <v>210.97</v>
      </c>
      <c r="B162">
        <v>977.6</v>
      </c>
      <c r="C162" s="1">
        <v>33.5</v>
      </c>
      <c r="D162" s="1">
        <v>125</v>
      </c>
      <c r="E162" s="1">
        <v>24</v>
      </c>
      <c r="F162" s="1">
        <v>123</v>
      </c>
      <c r="G162" s="1">
        <v>14.5</v>
      </c>
      <c r="H162" s="1">
        <v>115</v>
      </c>
      <c r="I162">
        <v>88.450999999999993</v>
      </c>
      <c r="J162">
        <v>-96.27</v>
      </c>
      <c r="K162" s="1"/>
      <c r="N162" s="1"/>
      <c r="O162" s="1">
        <v>0</v>
      </c>
      <c r="P162">
        <f t="shared" si="10"/>
        <v>88.03899491164475</v>
      </c>
      <c r="Q162">
        <f t="shared" si="11"/>
        <v>87.142323605139964</v>
      </c>
      <c r="R162">
        <f t="shared" si="12"/>
        <v>86.765458815607346</v>
      </c>
      <c r="V162">
        <f t="shared" si="9"/>
        <v>-77.369313806576386</v>
      </c>
      <c r="W162">
        <f t="shared" si="13"/>
        <v>-79.369313806576386</v>
      </c>
      <c r="X162">
        <f t="shared" si="14"/>
        <v>-87.369313806576514</v>
      </c>
    </row>
    <row r="163" spans="1:24">
      <c r="A163">
        <f t="shared" si="15"/>
        <v>211.47</v>
      </c>
      <c r="B163">
        <v>1004.4</v>
      </c>
      <c r="C163" s="1">
        <v>31</v>
      </c>
      <c r="D163" s="1">
        <v>90</v>
      </c>
      <c r="E163" s="1">
        <v>22</v>
      </c>
      <c r="F163" s="1">
        <v>95</v>
      </c>
      <c r="G163" s="1">
        <v>14</v>
      </c>
      <c r="H163" s="1">
        <v>90</v>
      </c>
      <c r="I163">
        <v>87.819000000000003</v>
      </c>
      <c r="J163">
        <v>-103.9</v>
      </c>
      <c r="K163" s="1"/>
      <c r="N163" s="1"/>
      <c r="O163" s="1">
        <v>0</v>
      </c>
      <c r="P163">
        <f t="shared" si="10"/>
        <v>87.365332647593306</v>
      </c>
      <c r="Q163">
        <f t="shared" si="11"/>
        <v>86.386552387351969</v>
      </c>
      <c r="R163">
        <f t="shared" si="12"/>
        <v>86.4606594844726</v>
      </c>
      <c r="V163">
        <f t="shared" si="9"/>
        <v>-83.375346550046586</v>
      </c>
      <c r="W163">
        <f t="shared" si="13"/>
        <v>-78.375346550046601</v>
      </c>
      <c r="X163">
        <f t="shared" si="14"/>
        <v>-83.375346550046586</v>
      </c>
    </row>
    <row r="164" spans="1:24">
      <c r="A164">
        <f t="shared" si="15"/>
        <v>211.97</v>
      </c>
      <c r="B164">
        <v>1031.8</v>
      </c>
      <c r="C164" s="1">
        <v>29</v>
      </c>
      <c r="D164" s="1">
        <v>55</v>
      </c>
      <c r="E164" s="1">
        <v>20.5</v>
      </c>
      <c r="F164" s="1">
        <v>65</v>
      </c>
      <c r="G164" s="1">
        <v>13</v>
      </c>
      <c r="H164" s="1">
        <v>65</v>
      </c>
      <c r="I164">
        <v>86.95</v>
      </c>
      <c r="J164">
        <v>-108.5</v>
      </c>
      <c r="K164" s="1"/>
      <c r="N164" s="1"/>
      <c r="O164" s="1">
        <v>0</v>
      </c>
      <c r="P164">
        <f t="shared" si="10"/>
        <v>86.786058728886971</v>
      </c>
      <c r="Q164">
        <f t="shared" si="11"/>
        <v>85.773175992022914</v>
      </c>
      <c r="R164">
        <f t="shared" si="12"/>
        <v>85.816965817044576</v>
      </c>
      <c r="V164">
        <f t="shared" si="9"/>
        <v>-88.732260623594229</v>
      </c>
      <c r="W164">
        <f t="shared" si="13"/>
        <v>-78.732260623594271</v>
      </c>
      <c r="X164">
        <f t="shared" si="14"/>
        <v>-78.732260623594271</v>
      </c>
    </row>
    <row r="165" spans="1:24">
      <c r="A165">
        <f t="shared" si="15"/>
        <v>212.47</v>
      </c>
      <c r="B165">
        <v>1060.2</v>
      </c>
      <c r="C165" s="1">
        <v>27</v>
      </c>
      <c r="D165" s="1">
        <v>22</v>
      </c>
      <c r="E165" s="1">
        <v>20</v>
      </c>
      <c r="F165" s="1">
        <v>37</v>
      </c>
      <c r="G165" s="1">
        <v>12</v>
      </c>
      <c r="H165" s="1">
        <v>35</v>
      </c>
      <c r="I165">
        <v>86.081999999999994</v>
      </c>
      <c r="J165">
        <v>-108.5</v>
      </c>
      <c r="K165" s="1"/>
      <c r="N165" s="1"/>
      <c r="O165" s="1">
        <v>0</v>
      </c>
      <c r="P165">
        <f t="shared" si="10"/>
        <v>86.165374054087607</v>
      </c>
      <c r="Q165">
        <f t="shared" si="11"/>
        <v>85.558698684187462</v>
      </c>
      <c r="R165">
        <f t="shared" si="12"/>
        <v>85.121723691860339</v>
      </c>
      <c r="V165">
        <f t="shared" si="9"/>
        <v>-91.007310247271363</v>
      </c>
      <c r="W165">
        <f t="shared" si="13"/>
        <v>-76.007310247271249</v>
      </c>
      <c r="X165">
        <f t="shared" si="14"/>
        <v>-78.007310247271249</v>
      </c>
    </row>
    <row r="166" spans="1:24">
      <c r="A166">
        <f t="shared" si="15"/>
        <v>212.97</v>
      </c>
      <c r="B166">
        <v>1089.2</v>
      </c>
      <c r="C166" s="1">
        <v>25</v>
      </c>
      <c r="D166" s="1">
        <v>355</v>
      </c>
      <c r="E166" s="1">
        <v>19.5</v>
      </c>
      <c r="F166" s="1">
        <v>9</v>
      </c>
      <c r="G166" s="1">
        <v>12</v>
      </c>
      <c r="H166" s="1">
        <v>10</v>
      </c>
      <c r="I166">
        <v>85.572000000000003</v>
      </c>
      <c r="J166">
        <v>-103</v>
      </c>
      <c r="K166" s="1"/>
      <c r="N166" s="1"/>
      <c r="O166" s="1">
        <v>0</v>
      </c>
      <c r="P166">
        <f t="shared" si="10"/>
        <v>85.496898944348601</v>
      </c>
      <c r="Q166">
        <f t="shared" si="11"/>
        <v>85.338790998158203</v>
      </c>
      <c r="R166">
        <f t="shared" si="12"/>
        <v>85.121723691860339</v>
      </c>
      <c r="V166">
        <f t="shared" si="9"/>
        <v>-86.633241201026124</v>
      </c>
      <c r="W166">
        <f t="shared" si="13"/>
        <v>-72.633241201026166</v>
      </c>
      <c r="X166">
        <f t="shared" si="14"/>
        <v>-71.633241201026166</v>
      </c>
    </row>
    <row r="167" spans="1:24">
      <c r="A167">
        <f t="shared" si="15"/>
        <v>213.47</v>
      </c>
      <c r="B167">
        <v>1118.8</v>
      </c>
      <c r="C167" s="1">
        <v>24</v>
      </c>
      <c r="D167" s="1">
        <v>328</v>
      </c>
      <c r="E167" s="1">
        <v>19.5</v>
      </c>
      <c r="F167" s="1">
        <v>340</v>
      </c>
      <c r="G167" s="1">
        <v>12</v>
      </c>
      <c r="H167" s="1">
        <v>335</v>
      </c>
      <c r="I167">
        <v>85.369</v>
      </c>
      <c r="J167">
        <v>-98.86</v>
      </c>
      <c r="K167" s="1"/>
      <c r="N167" s="1"/>
      <c r="O167" s="1">
        <v>2.5142857142857012E-2</v>
      </c>
      <c r="P167">
        <f t="shared" si="10"/>
        <v>85.117180747997125</v>
      </c>
      <c r="Q167">
        <f t="shared" si="11"/>
        <v>85.313648141015349</v>
      </c>
      <c r="R167">
        <f t="shared" si="12"/>
        <v>85.096580834717486</v>
      </c>
      <c r="V167">
        <f t="shared" si="9"/>
        <v>-81.610053484858653</v>
      </c>
      <c r="W167">
        <f t="shared" si="13"/>
        <v>-69.610053484858696</v>
      </c>
      <c r="X167">
        <f t="shared" si="14"/>
        <v>-74.610053484858526</v>
      </c>
    </row>
    <row r="168" spans="1:24">
      <c r="A168">
        <f t="shared" si="15"/>
        <v>213.97</v>
      </c>
      <c r="B168">
        <v>1149.5999999999999</v>
      </c>
      <c r="C168" s="1">
        <v>23</v>
      </c>
      <c r="D168" s="1">
        <v>298</v>
      </c>
      <c r="E168" s="1">
        <v>20.5</v>
      </c>
      <c r="F168" s="1">
        <v>305</v>
      </c>
      <c r="G168" s="1">
        <v>12</v>
      </c>
      <c r="H168" s="1">
        <v>300</v>
      </c>
      <c r="I168">
        <v>85.587000000000003</v>
      </c>
      <c r="J168">
        <v>-97.34</v>
      </c>
      <c r="K168" s="1"/>
      <c r="N168" s="1"/>
      <c r="O168" s="1">
        <v>0.11314285714285688</v>
      </c>
      <c r="P168">
        <f t="shared" si="10"/>
        <v>84.659512634116851</v>
      </c>
      <c r="Q168">
        <f t="shared" si="11"/>
        <v>85.660033134880052</v>
      </c>
      <c r="R168">
        <f t="shared" si="12"/>
        <v>85.008580834717478</v>
      </c>
      <c r="V168">
        <f t="shared" ref="V168:V189" si="16">(D168/360+V$4/V$5*$B168+0.5*V$6-INT(D168/360+V$4/V$5*$B168+0.5*V$6)+IF(D168/360+V$4/V$5*$B168+0.5*V$6-INT(D168/360+V$4/V$5*$B168+0.5*V$6)&gt;0.5,-1,0))*360</f>
        <v>-78.288628428846579</v>
      </c>
      <c r="W168">
        <f t="shared" si="13"/>
        <v>-71.288628428846749</v>
      </c>
      <c r="X168">
        <f t="shared" si="14"/>
        <v>-76.288628428846579</v>
      </c>
    </row>
    <row r="169" spans="1:24">
      <c r="A169">
        <f t="shared" si="15"/>
        <v>214.47</v>
      </c>
      <c r="B169">
        <v>1181</v>
      </c>
      <c r="C169" s="1">
        <v>23</v>
      </c>
      <c r="D169" s="1">
        <v>268</v>
      </c>
      <c r="E169" s="1">
        <v>21.5</v>
      </c>
      <c r="F169" s="1">
        <v>270</v>
      </c>
      <c r="G169" s="1">
        <v>12.5</v>
      </c>
      <c r="H169" s="1">
        <v>265</v>
      </c>
      <c r="I169">
        <v>85.962999999999994</v>
      </c>
      <c r="J169">
        <v>-98.87</v>
      </c>
      <c r="K169" s="1"/>
      <c r="N169" s="1"/>
      <c r="O169" s="1">
        <v>0.2</v>
      </c>
      <c r="P169">
        <f t="shared" ref="P169:P232" si="17">20*LOG(P$12*$C169/0.00002)-$N169-$O169+P$4</f>
        <v>84.572655491259709</v>
      </c>
      <c r="Q169">
        <f t="shared" ref="Q169:Q232" si="18">20*LOG(Q$12*$E169/0.00002)-$N169-$O169+Q$4</f>
        <v>85.986867969219944</v>
      </c>
      <c r="R169">
        <f t="shared" ref="R169:R232" si="19">20*LOG(R$12*$G169/0.00002)-$N169-$O169+R$4</f>
        <v>85.276299031068959</v>
      </c>
      <c r="V169">
        <f t="shared" si="16"/>
        <v>-74.318084702911946</v>
      </c>
      <c r="W169">
        <f t="shared" ref="W169:W189" si="20">(F169/360+W$4/W$5*$B169+0.5*W$6-INT(F169/360+W$4/W$5*$B169+0.5*W$6)+IF(F169/360+W$4/W$5*$B169+0.5*W$6-INT(F169/360+W$4/W$5*$B169+0.5*W$6)&gt;0.5,-1,0))*360</f>
        <v>-72.318084702912273</v>
      </c>
      <c r="X169">
        <f t="shared" ref="X169:X189" si="21">(H169/360+X$4/X$5*$B169+0.5*X$6-INT(H169/360+X$4/X$5*$B169+0.5*X$6)+IF(H169/360+X$4/X$5*$B169+0.5*X$6-INT(H169/360+X$4/X$5*$B169+0.5*X$6)&gt;0.5,-1,0))*360</f>
        <v>-77.318084702912103</v>
      </c>
    </row>
    <row r="170" spans="1:24">
      <c r="A170">
        <f t="shared" si="15"/>
        <v>214.97</v>
      </c>
      <c r="B170">
        <v>1213.4000000000001</v>
      </c>
      <c r="C170" s="1">
        <v>23</v>
      </c>
      <c r="D170" s="1">
        <v>235</v>
      </c>
      <c r="E170" s="1">
        <v>22</v>
      </c>
      <c r="F170" s="1">
        <v>235</v>
      </c>
      <c r="G170" s="1">
        <v>13.5</v>
      </c>
      <c r="H170" s="1">
        <v>230</v>
      </c>
      <c r="I170">
        <v>86.301000000000002</v>
      </c>
      <c r="J170">
        <v>-103.2</v>
      </c>
      <c r="K170" s="1"/>
      <c r="N170" s="1"/>
      <c r="O170" s="1">
        <v>0.2</v>
      </c>
      <c r="P170">
        <f t="shared" si="17"/>
        <v>84.572655491259709</v>
      </c>
      <c r="Q170">
        <f t="shared" si="18"/>
        <v>86.186552387351966</v>
      </c>
      <c r="R170">
        <f t="shared" si="19"/>
        <v>85.944774140807965</v>
      </c>
      <c r="V170">
        <f t="shared" si="16"/>
        <v>-72.265676527107104</v>
      </c>
      <c r="W170">
        <f t="shared" si="20"/>
        <v>-72.265676527107104</v>
      </c>
      <c r="X170">
        <f t="shared" si="21"/>
        <v>-77.265676527106919</v>
      </c>
    </row>
    <row r="171" spans="1:24">
      <c r="A171">
        <f t="shared" si="15"/>
        <v>215.47</v>
      </c>
      <c r="B171">
        <v>1246.5999999999999</v>
      </c>
      <c r="C171" s="1">
        <v>24</v>
      </c>
      <c r="D171" s="1">
        <v>195</v>
      </c>
      <c r="E171" s="1">
        <v>22</v>
      </c>
      <c r="F171" s="1">
        <v>198</v>
      </c>
      <c r="G171" s="1">
        <v>14</v>
      </c>
      <c r="H171" s="1">
        <v>195</v>
      </c>
      <c r="I171">
        <v>86.662000000000006</v>
      </c>
      <c r="J171">
        <v>-106.9</v>
      </c>
      <c r="K171" s="1"/>
      <c r="N171" s="1"/>
      <c r="O171" s="1">
        <v>0.2</v>
      </c>
      <c r="P171">
        <f t="shared" si="17"/>
        <v>84.942323605139975</v>
      </c>
      <c r="Q171">
        <f t="shared" si="18"/>
        <v>86.186552387351966</v>
      </c>
      <c r="R171">
        <f t="shared" si="19"/>
        <v>86.260659484472598</v>
      </c>
      <c r="V171">
        <f t="shared" si="16"/>
        <v>-76.347776791405764</v>
      </c>
      <c r="W171">
        <f t="shared" si="20"/>
        <v>-73.347776791405934</v>
      </c>
      <c r="X171">
        <f t="shared" si="21"/>
        <v>-76.347776791405764</v>
      </c>
    </row>
    <row r="172" spans="1:24">
      <c r="A172">
        <f t="shared" si="15"/>
        <v>215.97</v>
      </c>
      <c r="B172">
        <v>1280.8</v>
      </c>
      <c r="C172" s="1">
        <v>25</v>
      </c>
      <c r="D172" s="1">
        <v>155</v>
      </c>
      <c r="E172" s="1">
        <v>22.5</v>
      </c>
      <c r="F172" s="1">
        <v>160</v>
      </c>
      <c r="G172" s="1">
        <v>14</v>
      </c>
      <c r="H172" s="1">
        <v>155</v>
      </c>
      <c r="I172">
        <v>87.097999999999999</v>
      </c>
      <c r="J172">
        <v>-110.8</v>
      </c>
      <c r="K172" s="1"/>
      <c r="N172" s="1"/>
      <c r="O172" s="1">
        <v>0.17400000000000007</v>
      </c>
      <c r="P172">
        <f t="shared" si="17"/>
        <v>85.322898944348594</v>
      </c>
      <c r="Q172">
        <f t="shared" si="18"/>
        <v>86.407749133135084</v>
      </c>
      <c r="R172">
        <f t="shared" si="19"/>
        <v>86.286659484472594</v>
      </c>
      <c r="V172">
        <f t="shared" si="16"/>
        <v>-79.348012605834057</v>
      </c>
      <c r="W172">
        <f t="shared" si="20"/>
        <v>-74.348012605833915</v>
      </c>
      <c r="X172">
        <f t="shared" si="21"/>
        <v>-79.348012605834057</v>
      </c>
    </row>
    <row r="173" spans="1:24">
      <c r="A173">
        <f t="shared" si="15"/>
        <v>216.47</v>
      </c>
      <c r="B173">
        <v>1315.8</v>
      </c>
      <c r="C173" s="1">
        <v>25</v>
      </c>
      <c r="D173" s="1">
        <v>112</v>
      </c>
      <c r="E173" s="1">
        <v>22.5</v>
      </c>
      <c r="F173" s="1">
        <v>120</v>
      </c>
      <c r="G173" s="1">
        <v>14</v>
      </c>
      <c r="H173" s="1">
        <v>110</v>
      </c>
      <c r="I173">
        <v>87.427999999999997</v>
      </c>
      <c r="J173">
        <v>-119.2</v>
      </c>
      <c r="K173" s="1"/>
      <c r="N173" s="1"/>
      <c r="O173" s="1">
        <v>0.13025000000000006</v>
      </c>
      <c r="P173">
        <f t="shared" si="17"/>
        <v>85.366648944348597</v>
      </c>
      <c r="Q173">
        <f t="shared" si="18"/>
        <v>86.451499133135087</v>
      </c>
      <c r="R173">
        <f t="shared" si="19"/>
        <v>86.330409484472597</v>
      </c>
      <c r="V173">
        <f t="shared" si="16"/>
        <v>-84.482756860365555</v>
      </c>
      <c r="W173">
        <f t="shared" si="20"/>
        <v>-76.482756860365583</v>
      </c>
      <c r="X173">
        <f t="shared" si="21"/>
        <v>-86.482756860365555</v>
      </c>
    </row>
    <row r="174" spans="1:24">
      <c r="A174">
        <f t="shared" si="15"/>
        <v>216.97</v>
      </c>
      <c r="B174">
        <v>1351.8</v>
      </c>
      <c r="C174" s="1">
        <v>25.5</v>
      </c>
      <c r="D174" s="1">
        <v>70</v>
      </c>
      <c r="E174" s="1">
        <v>22</v>
      </c>
      <c r="F174" s="1">
        <v>80</v>
      </c>
      <c r="G174" s="1">
        <v>14</v>
      </c>
      <c r="H174" s="1">
        <v>65</v>
      </c>
      <c r="I174">
        <v>87.241</v>
      </c>
      <c r="J174">
        <v>-132.6</v>
      </c>
      <c r="K174" s="1"/>
      <c r="N174" s="1"/>
      <c r="O174" s="1">
        <v>0.1</v>
      </c>
      <c r="P174">
        <f t="shared" si="17"/>
        <v>85.568902379586959</v>
      </c>
      <c r="Q174">
        <f t="shared" si="18"/>
        <v>86.286552387351975</v>
      </c>
      <c r="R174">
        <f t="shared" si="19"/>
        <v>86.360659484472606</v>
      </c>
      <c r="V174">
        <f t="shared" si="16"/>
        <v>-87.535636665026544</v>
      </c>
      <c r="W174">
        <f t="shared" si="20"/>
        <v>-77.535636665026573</v>
      </c>
      <c r="X174">
        <f t="shared" si="21"/>
        <v>-92.535636665026686</v>
      </c>
    </row>
    <row r="175" spans="1:24">
      <c r="A175">
        <f t="shared" si="15"/>
        <v>217.47</v>
      </c>
      <c r="B175">
        <v>1388.8</v>
      </c>
      <c r="C175" s="1">
        <v>25.5</v>
      </c>
      <c r="D175" s="1">
        <v>28</v>
      </c>
      <c r="E175" s="1">
        <v>21.5</v>
      </c>
      <c r="F175" s="1">
        <v>40</v>
      </c>
      <c r="G175" s="1">
        <v>13.5</v>
      </c>
      <c r="H175" s="1">
        <v>25</v>
      </c>
      <c r="I175">
        <v>86.414000000000001</v>
      </c>
      <c r="J175">
        <v>-145.5</v>
      </c>
      <c r="K175" s="1"/>
      <c r="N175" s="1"/>
      <c r="O175" s="1">
        <v>0.1</v>
      </c>
      <c r="P175">
        <f t="shared" si="17"/>
        <v>85.568902379586959</v>
      </c>
      <c r="Q175">
        <f t="shared" si="18"/>
        <v>86.086867969219952</v>
      </c>
      <c r="R175">
        <f t="shared" si="19"/>
        <v>86.044774140807974</v>
      </c>
      <c r="V175">
        <f t="shared" si="16"/>
        <v>-89.506652019817466</v>
      </c>
      <c r="W175">
        <f t="shared" si="20"/>
        <v>-77.506652019817494</v>
      </c>
      <c r="X175">
        <f t="shared" si="21"/>
        <v>-92.506652019817295</v>
      </c>
    </row>
    <row r="176" spans="1:24">
      <c r="A176">
        <f t="shared" si="15"/>
        <v>217.97</v>
      </c>
      <c r="B176">
        <v>1427</v>
      </c>
      <c r="C176" s="1">
        <v>25.5</v>
      </c>
      <c r="D176" s="1">
        <v>345</v>
      </c>
      <c r="E176" s="1">
        <v>21.5</v>
      </c>
      <c r="F176" s="1">
        <v>358</v>
      </c>
      <c r="G176" s="1">
        <v>13.5</v>
      </c>
      <c r="H176" s="1">
        <v>345</v>
      </c>
      <c r="I176">
        <v>84.974000000000004</v>
      </c>
      <c r="J176">
        <v>-151.4</v>
      </c>
      <c r="K176" s="1"/>
      <c r="N176" s="1"/>
      <c r="O176" s="1">
        <v>0.1</v>
      </c>
      <c r="P176">
        <f t="shared" si="17"/>
        <v>85.568902379586959</v>
      </c>
      <c r="Q176">
        <f t="shared" si="18"/>
        <v>86.086867969219952</v>
      </c>
      <c r="R176">
        <f t="shared" si="19"/>
        <v>86.044774140807974</v>
      </c>
      <c r="V176">
        <f t="shared" si="16"/>
        <v>-91.179430034763442</v>
      </c>
      <c r="W176">
        <f t="shared" si="20"/>
        <v>-78.179430034763328</v>
      </c>
      <c r="X176">
        <f t="shared" si="21"/>
        <v>-91.179430034763442</v>
      </c>
    </row>
    <row r="177" spans="1:24">
      <c r="A177">
        <f t="shared" si="15"/>
        <v>218.47</v>
      </c>
      <c r="B177">
        <v>1465.8</v>
      </c>
      <c r="C177" s="1">
        <v>25</v>
      </c>
      <c r="D177" s="1">
        <v>300</v>
      </c>
      <c r="E177" s="1">
        <v>21.5</v>
      </c>
      <c r="F177" s="1">
        <v>315</v>
      </c>
      <c r="G177" s="1">
        <v>13.5</v>
      </c>
      <c r="H177" s="1">
        <v>305</v>
      </c>
      <c r="I177">
        <v>83.539000000000001</v>
      </c>
      <c r="J177">
        <v>-148.30000000000001</v>
      </c>
      <c r="K177" s="1"/>
      <c r="N177" s="1"/>
      <c r="O177" s="1">
        <v>0.1</v>
      </c>
      <c r="P177">
        <f t="shared" si="17"/>
        <v>85.396898944348607</v>
      </c>
      <c r="Q177">
        <f t="shared" si="18"/>
        <v>86.086867969219952</v>
      </c>
      <c r="R177">
        <f t="shared" si="19"/>
        <v>86.044774140807974</v>
      </c>
      <c r="V177">
        <f t="shared" si="16"/>
        <v>-94.203089379787201</v>
      </c>
      <c r="W177">
        <f t="shared" si="20"/>
        <v>-79.203089379787102</v>
      </c>
      <c r="X177">
        <f t="shared" si="21"/>
        <v>-89.203089379787059</v>
      </c>
    </row>
    <row r="178" spans="1:24">
      <c r="A178">
        <f t="shared" si="15"/>
        <v>218.97</v>
      </c>
      <c r="B178">
        <v>1506.2</v>
      </c>
      <c r="C178" s="1">
        <v>25</v>
      </c>
      <c r="D178" s="1">
        <v>255</v>
      </c>
      <c r="E178" s="1">
        <v>21.5</v>
      </c>
      <c r="F178" s="1">
        <v>265</v>
      </c>
      <c r="G178" s="1">
        <v>13.5</v>
      </c>
      <c r="H178" s="1">
        <v>260</v>
      </c>
      <c r="I178">
        <v>82.506</v>
      </c>
      <c r="J178">
        <v>-140.1</v>
      </c>
      <c r="K178" s="1"/>
      <c r="N178" s="1"/>
      <c r="O178" s="1">
        <v>0.1</v>
      </c>
      <c r="P178">
        <f t="shared" si="17"/>
        <v>85.396898944348607</v>
      </c>
      <c r="Q178">
        <f t="shared" si="18"/>
        <v>86.086867969219952</v>
      </c>
      <c r="R178">
        <f t="shared" si="19"/>
        <v>86.044774140807974</v>
      </c>
      <c r="V178">
        <f t="shared" si="16"/>
        <v>-95.49576560501805</v>
      </c>
      <c r="W178">
        <f t="shared" si="20"/>
        <v>-85.495765605017766</v>
      </c>
      <c r="X178">
        <f t="shared" si="21"/>
        <v>-90.495765605017908</v>
      </c>
    </row>
    <row r="179" spans="1:24">
      <c r="A179">
        <f t="shared" si="15"/>
        <v>219.47</v>
      </c>
      <c r="B179">
        <v>1547.2</v>
      </c>
      <c r="C179" s="1">
        <v>25</v>
      </c>
      <c r="D179" s="1">
        <v>210</v>
      </c>
      <c r="E179" s="1">
        <v>22</v>
      </c>
      <c r="F179" s="1">
        <v>217</v>
      </c>
      <c r="G179" s="1">
        <v>13.5</v>
      </c>
      <c r="H179" s="1">
        <v>210</v>
      </c>
      <c r="I179">
        <v>81.953000000000003</v>
      </c>
      <c r="J179">
        <v>-130.80000000000001</v>
      </c>
      <c r="K179" s="1"/>
      <c r="N179" s="1"/>
      <c r="O179" s="1">
        <v>0.13720000000000004</v>
      </c>
      <c r="P179">
        <f t="shared" si="17"/>
        <v>85.359698944348594</v>
      </c>
      <c r="Q179">
        <f t="shared" si="18"/>
        <v>86.249352387351962</v>
      </c>
      <c r="R179">
        <f t="shared" si="19"/>
        <v>86.007574140807961</v>
      </c>
      <c r="V179">
        <f t="shared" si="16"/>
        <v>-96.139323160326668</v>
      </c>
      <c r="W179">
        <f t="shared" si="20"/>
        <v>-89.139323160326541</v>
      </c>
      <c r="X179">
        <f t="shared" si="21"/>
        <v>-96.139323160326668</v>
      </c>
    </row>
    <row r="180" spans="1:24">
      <c r="A180">
        <f t="shared" si="15"/>
        <v>219.97</v>
      </c>
      <c r="B180">
        <v>1589.8</v>
      </c>
      <c r="C180" s="1">
        <v>25.5</v>
      </c>
      <c r="D180" s="1">
        <v>165</v>
      </c>
      <c r="E180" s="1">
        <v>22</v>
      </c>
      <c r="F180" s="1">
        <v>170</v>
      </c>
      <c r="G180" s="1">
        <v>13.5</v>
      </c>
      <c r="H180" s="1">
        <v>160</v>
      </c>
      <c r="I180">
        <v>81.691000000000003</v>
      </c>
      <c r="J180">
        <v>-122.7</v>
      </c>
      <c r="K180" s="1"/>
      <c r="N180" s="1"/>
      <c r="O180" s="1">
        <v>0.17979999999999996</v>
      </c>
      <c r="P180">
        <f t="shared" si="17"/>
        <v>85.489102379586953</v>
      </c>
      <c r="Q180">
        <f t="shared" si="18"/>
        <v>86.206752387351969</v>
      </c>
      <c r="R180">
        <f t="shared" si="19"/>
        <v>85.964974140807968</v>
      </c>
      <c r="V180">
        <f t="shared" si="16"/>
        <v>-95.051897595842377</v>
      </c>
      <c r="W180">
        <f t="shared" si="20"/>
        <v>-90.051897595842235</v>
      </c>
      <c r="X180">
        <f t="shared" si="21"/>
        <v>-100.05189759584219</v>
      </c>
    </row>
    <row r="181" spans="1:24">
      <c r="A181">
        <f t="shared" si="15"/>
        <v>220.47</v>
      </c>
      <c r="B181">
        <v>1633.2</v>
      </c>
      <c r="C181" s="1">
        <v>25.5</v>
      </c>
      <c r="D181" s="1">
        <v>115</v>
      </c>
      <c r="E181" s="1">
        <v>22</v>
      </c>
      <c r="F181" s="1">
        <v>122</v>
      </c>
      <c r="G181" s="1">
        <v>14</v>
      </c>
      <c r="H181" s="1">
        <v>110</v>
      </c>
      <c r="I181">
        <v>81.626000000000005</v>
      </c>
      <c r="J181">
        <v>-116.8</v>
      </c>
      <c r="K181" s="1"/>
      <c r="N181" s="1"/>
      <c r="O181" s="1">
        <v>0.2</v>
      </c>
      <c r="P181">
        <f t="shared" si="17"/>
        <v>85.46890237958695</v>
      </c>
      <c r="Q181">
        <f t="shared" si="18"/>
        <v>86.186552387351966</v>
      </c>
      <c r="R181">
        <f t="shared" si="19"/>
        <v>86.260659484472598</v>
      </c>
      <c r="V181">
        <f t="shared" si="16"/>
        <v>-98.098980471461275</v>
      </c>
      <c r="W181">
        <f t="shared" si="20"/>
        <v>-91.098980471461459</v>
      </c>
      <c r="X181">
        <f t="shared" si="21"/>
        <v>-103.09898047146142</v>
      </c>
    </row>
    <row r="182" spans="1:24">
      <c r="A182">
        <f t="shared" si="15"/>
        <v>220.97</v>
      </c>
      <c r="B182">
        <v>1678</v>
      </c>
      <c r="C182" s="1">
        <v>25.5</v>
      </c>
      <c r="D182" s="1">
        <v>62</v>
      </c>
      <c r="E182" s="1">
        <v>22</v>
      </c>
      <c r="F182" s="1">
        <v>70</v>
      </c>
      <c r="G182" s="1">
        <v>14</v>
      </c>
      <c r="H182" s="1">
        <v>55</v>
      </c>
      <c r="I182">
        <v>81.715999999999994</v>
      </c>
      <c r="J182">
        <v>-114.3</v>
      </c>
      <c r="K182" s="1"/>
      <c r="N182" s="1"/>
      <c r="O182" s="1">
        <v>0.2</v>
      </c>
      <c r="P182">
        <f t="shared" si="17"/>
        <v>85.46890237958695</v>
      </c>
      <c r="Q182">
        <f t="shared" si="18"/>
        <v>86.186552387351966</v>
      </c>
      <c r="R182">
        <f t="shared" si="19"/>
        <v>86.260659484472598</v>
      </c>
      <c r="V182">
        <f t="shared" si="16"/>
        <v>-102.6314531172618</v>
      </c>
      <c r="W182">
        <f t="shared" si="20"/>
        <v>-94.631453117261827</v>
      </c>
      <c r="X182">
        <f t="shared" si="21"/>
        <v>-109.63145311726194</v>
      </c>
    </row>
    <row r="183" spans="1:24">
      <c r="A183">
        <f t="shared" si="15"/>
        <v>221.47</v>
      </c>
      <c r="B183">
        <v>1723.8</v>
      </c>
      <c r="C183" s="1">
        <v>25</v>
      </c>
      <c r="D183" s="1">
        <v>10</v>
      </c>
      <c r="E183" s="1">
        <v>21</v>
      </c>
      <c r="F183" s="1">
        <v>15</v>
      </c>
      <c r="G183" s="1">
        <v>14</v>
      </c>
      <c r="H183" s="1">
        <v>0</v>
      </c>
      <c r="I183">
        <v>81.852999999999994</v>
      </c>
      <c r="J183">
        <v>-115.9</v>
      </c>
      <c r="K183" s="1"/>
      <c r="N183" s="1"/>
      <c r="O183" s="1">
        <v>0.2</v>
      </c>
      <c r="P183">
        <f t="shared" si="17"/>
        <v>85.296898944348598</v>
      </c>
      <c r="Q183">
        <f t="shared" si="18"/>
        <v>85.782484665586225</v>
      </c>
      <c r="R183">
        <f t="shared" si="19"/>
        <v>86.260659484472598</v>
      </c>
      <c r="V183">
        <f t="shared" si="16"/>
        <v>-105.08206131319213</v>
      </c>
      <c r="W183">
        <f t="shared" si="20"/>
        <v>-100.08206131319199</v>
      </c>
      <c r="X183">
        <f t="shared" si="21"/>
        <v>-115.0820613131921</v>
      </c>
    </row>
    <row r="184" spans="1:24">
      <c r="A184">
        <f t="shared" si="15"/>
        <v>221.97</v>
      </c>
      <c r="B184">
        <v>1771.2</v>
      </c>
      <c r="C184" s="1">
        <v>25</v>
      </c>
      <c r="D184" s="1">
        <v>315</v>
      </c>
      <c r="E184" s="1">
        <v>21</v>
      </c>
      <c r="F184" s="1">
        <v>320</v>
      </c>
      <c r="G184" s="1">
        <v>14</v>
      </c>
      <c r="H184" s="1">
        <v>305</v>
      </c>
      <c r="I184">
        <v>81.962999999999994</v>
      </c>
      <c r="J184">
        <v>-119.3</v>
      </c>
      <c r="K184" s="1"/>
      <c r="N184" s="1"/>
      <c r="O184" s="1">
        <v>0.2</v>
      </c>
      <c r="P184">
        <f t="shared" si="17"/>
        <v>85.296898944348598</v>
      </c>
      <c r="Q184">
        <f t="shared" si="18"/>
        <v>85.782484665586225</v>
      </c>
      <c r="R184">
        <f t="shared" si="19"/>
        <v>86.260659484472598</v>
      </c>
      <c r="V184">
        <f t="shared" si="16"/>
        <v>-108.80168638932936</v>
      </c>
      <c r="W184">
        <f t="shared" si="20"/>
        <v>-103.80168638932922</v>
      </c>
      <c r="X184">
        <f t="shared" si="21"/>
        <v>-118.80168638932932</v>
      </c>
    </row>
    <row r="185" spans="1:24">
      <c r="A185">
        <f t="shared" si="15"/>
        <v>222.47</v>
      </c>
      <c r="B185">
        <v>1819.6</v>
      </c>
      <c r="C185" s="1">
        <v>24.5</v>
      </c>
      <c r="D185" s="1">
        <v>255</v>
      </c>
      <c r="E185" s="1">
        <v>21</v>
      </c>
      <c r="F185" s="1">
        <v>265</v>
      </c>
      <c r="G185" s="1">
        <v>14</v>
      </c>
      <c r="H185" s="1">
        <v>250</v>
      </c>
      <c r="I185">
        <v>82.001999999999995</v>
      </c>
      <c r="J185">
        <v>-121.6</v>
      </c>
      <c r="K185" s="1"/>
      <c r="N185" s="1"/>
      <c r="O185" s="1">
        <v>0.2</v>
      </c>
      <c r="P185">
        <f t="shared" si="17"/>
        <v>85.1214204581985</v>
      </c>
      <c r="Q185">
        <f t="shared" si="18"/>
        <v>85.782484665586225</v>
      </c>
      <c r="R185">
        <f t="shared" si="19"/>
        <v>86.260659484472598</v>
      </c>
      <c r="V185">
        <f t="shared" si="16"/>
        <v>-116.43944701559604</v>
      </c>
      <c r="W185">
        <f t="shared" si="20"/>
        <v>-106.43944701559576</v>
      </c>
      <c r="X185">
        <f t="shared" si="21"/>
        <v>-121.43944701559587</v>
      </c>
    </row>
    <row r="186" spans="1:24">
      <c r="A186">
        <f t="shared" si="15"/>
        <v>222.97</v>
      </c>
      <c r="B186">
        <v>1869.4</v>
      </c>
      <c r="C186" s="1">
        <v>24.5</v>
      </c>
      <c r="D186" s="1">
        <v>200</v>
      </c>
      <c r="E186" s="1">
        <v>21</v>
      </c>
      <c r="F186" s="1">
        <v>210</v>
      </c>
      <c r="G186" s="1">
        <v>14</v>
      </c>
      <c r="H186" s="1">
        <v>195</v>
      </c>
      <c r="I186">
        <v>82.031000000000006</v>
      </c>
      <c r="J186">
        <v>-122.2</v>
      </c>
      <c r="K186" s="1"/>
      <c r="N186" s="1"/>
      <c r="O186" s="1">
        <v>0.24490909090909099</v>
      </c>
      <c r="P186">
        <f t="shared" si="17"/>
        <v>85.076511367289413</v>
      </c>
      <c r="Q186">
        <f t="shared" si="18"/>
        <v>85.737575574677138</v>
      </c>
      <c r="R186">
        <f t="shared" si="19"/>
        <v>86.215750393563511</v>
      </c>
      <c r="V186">
        <f t="shared" si="16"/>
        <v>-117.56259741204374</v>
      </c>
      <c r="W186">
        <f t="shared" si="20"/>
        <v>-107.56259741204377</v>
      </c>
      <c r="X186">
        <f t="shared" si="21"/>
        <v>-122.56259741204357</v>
      </c>
    </row>
    <row r="187" spans="1:24">
      <c r="A187">
        <f t="shared" si="15"/>
        <v>223.47</v>
      </c>
      <c r="B187">
        <v>1920.4</v>
      </c>
      <c r="C187" s="1">
        <v>24.5</v>
      </c>
      <c r="D187" s="1">
        <v>145</v>
      </c>
      <c r="E187" s="1">
        <v>21</v>
      </c>
      <c r="F187" s="1">
        <v>150</v>
      </c>
      <c r="G187" s="1">
        <v>13.5</v>
      </c>
      <c r="H187" s="1">
        <v>140</v>
      </c>
      <c r="I187">
        <v>82.144999999999996</v>
      </c>
      <c r="J187">
        <v>-123.3</v>
      </c>
      <c r="K187" s="1"/>
      <c r="N187" s="1"/>
      <c r="O187" s="1">
        <v>0.29127272727272735</v>
      </c>
      <c r="P187">
        <f t="shared" si="17"/>
        <v>85.030147730925776</v>
      </c>
      <c r="Q187">
        <f t="shared" si="18"/>
        <v>85.691211938313501</v>
      </c>
      <c r="R187">
        <f t="shared" si="19"/>
        <v>85.853501413535241</v>
      </c>
      <c r="V187">
        <f t="shared" si="16"/>
        <v>-117.38751046864732</v>
      </c>
      <c r="W187">
        <f t="shared" si="20"/>
        <v>-112.38751046864718</v>
      </c>
      <c r="X187">
        <f t="shared" si="21"/>
        <v>-122.38751046864714</v>
      </c>
    </row>
    <row r="188" spans="1:24">
      <c r="A188">
        <f t="shared" si="15"/>
        <v>223.97</v>
      </c>
      <c r="B188">
        <v>1973.2</v>
      </c>
      <c r="C188" s="1">
        <v>24.5</v>
      </c>
      <c r="D188" s="1">
        <v>87</v>
      </c>
      <c r="E188" s="1">
        <v>21</v>
      </c>
      <c r="F188" s="1">
        <v>90</v>
      </c>
      <c r="G188" s="1">
        <v>13</v>
      </c>
      <c r="H188" s="1">
        <v>75</v>
      </c>
      <c r="I188">
        <v>82.364999999999995</v>
      </c>
      <c r="J188">
        <v>-125.8</v>
      </c>
      <c r="K188" s="1"/>
      <c r="N188" s="1"/>
      <c r="O188" s="1">
        <v>0.33600000000000002</v>
      </c>
      <c r="P188">
        <f t="shared" si="17"/>
        <v>84.985420458198504</v>
      </c>
      <c r="Q188">
        <f t="shared" si="18"/>
        <v>85.646484665586229</v>
      </c>
      <c r="R188">
        <f t="shared" si="19"/>
        <v>85.480965817044577</v>
      </c>
      <c r="V188">
        <f t="shared" si="16"/>
        <v>-118.26506751548372</v>
      </c>
      <c r="W188">
        <f t="shared" si="20"/>
        <v>-115.26506751548357</v>
      </c>
      <c r="X188">
        <f t="shared" si="21"/>
        <v>-130.26506751548368</v>
      </c>
    </row>
    <row r="189" spans="1:24">
      <c r="A189">
        <f t="shared" si="15"/>
        <v>224.47</v>
      </c>
      <c r="B189">
        <v>2026</v>
      </c>
      <c r="C189" s="1">
        <v>24</v>
      </c>
      <c r="D189" s="1">
        <v>25</v>
      </c>
      <c r="E189" s="1">
        <v>20</v>
      </c>
      <c r="F189" s="1">
        <v>30</v>
      </c>
      <c r="G189" s="1">
        <v>13</v>
      </c>
      <c r="H189" s="1">
        <v>10</v>
      </c>
      <c r="I189">
        <v>82.632000000000005</v>
      </c>
      <c r="J189">
        <v>-129.4</v>
      </c>
      <c r="K189" s="1"/>
      <c r="N189" s="1"/>
      <c r="O189" s="1">
        <v>0.38</v>
      </c>
      <c r="P189">
        <f t="shared" si="17"/>
        <v>84.762323605139983</v>
      </c>
      <c r="Q189">
        <f t="shared" si="18"/>
        <v>85.178698684187466</v>
      </c>
      <c r="R189">
        <f t="shared" si="19"/>
        <v>85.43696581704458</v>
      </c>
      <c r="V189">
        <f t="shared" si="16"/>
        <v>-123.1426245623198</v>
      </c>
      <c r="W189">
        <f t="shared" si="20"/>
        <v>-118.14262456231998</v>
      </c>
      <c r="X189">
        <f t="shared" si="21"/>
        <v>-138.1426245623199</v>
      </c>
    </row>
    <row r="190" spans="1:24">
      <c r="A190">
        <f t="shared" si="15"/>
        <v>224.97</v>
      </c>
      <c r="B190">
        <v>2082</v>
      </c>
      <c r="C190" s="1">
        <v>24.5</v>
      </c>
      <c r="D190" s="1"/>
      <c r="E190" s="1">
        <v>19.5</v>
      </c>
      <c r="F190" s="1"/>
      <c r="G190" s="1">
        <v>13</v>
      </c>
      <c r="H190" s="1"/>
      <c r="I190">
        <v>82.841999999999999</v>
      </c>
      <c r="J190">
        <v>-134.4</v>
      </c>
      <c r="N190" s="1"/>
      <c r="O190" s="1">
        <v>0.37538461538461537</v>
      </c>
      <c r="P190">
        <f t="shared" si="17"/>
        <v>84.946035842813885</v>
      </c>
      <c r="Q190">
        <f t="shared" si="18"/>
        <v>84.963406382773584</v>
      </c>
      <c r="R190">
        <f t="shared" si="19"/>
        <v>85.441581201659957</v>
      </c>
    </row>
    <row r="191" spans="1:24">
      <c r="A191">
        <f t="shared" si="15"/>
        <v>225.47</v>
      </c>
      <c r="B191">
        <v>2140</v>
      </c>
      <c r="C191" s="1">
        <v>25.5</v>
      </c>
      <c r="D191" s="1"/>
      <c r="E191" s="1">
        <v>19</v>
      </c>
      <c r="F191" s="1"/>
      <c r="G191" s="1">
        <v>14</v>
      </c>
      <c r="H191" s="1"/>
      <c r="I191">
        <v>83.013000000000005</v>
      </c>
      <c r="J191">
        <v>-139.69999999999999</v>
      </c>
      <c r="N191" s="1"/>
      <c r="O191" s="1">
        <v>0.33076923076923076</v>
      </c>
      <c r="P191">
        <f t="shared" si="17"/>
        <v>85.338133148817718</v>
      </c>
      <c r="Q191">
        <f t="shared" si="18"/>
        <v>84.782401559195179</v>
      </c>
      <c r="R191">
        <f t="shared" si="19"/>
        <v>86.129890253703365</v>
      </c>
    </row>
    <row r="192" spans="1:24">
      <c r="A192">
        <f t="shared" si="15"/>
        <v>225.97</v>
      </c>
      <c r="B192">
        <v>2198</v>
      </c>
      <c r="C192" s="1">
        <v>28</v>
      </c>
      <c r="D192" s="1"/>
      <c r="E192" s="1">
        <v>19.5</v>
      </c>
      <c r="F192" s="1"/>
      <c r="G192" s="1">
        <v>15</v>
      </c>
      <c r="H192" s="1"/>
      <c r="I192">
        <v>83.21</v>
      </c>
      <c r="J192">
        <v>-143.30000000000001</v>
      </c>
      <c r="N192" s="1"/>
      <c r="O192" s="1">
        <v>0.3</v>
      </c>
      <c r="P192">
        <f t="shared" si="17"/>
        <v>86.181259397752243</v>
      </c>
      <c r="Q192">
        <f t="shared" si="18"/>
        <v>85.038790998158206</v>
      </c>
      <c r="R192">
        <f t="shared" si="19"/>
        <v>86.759923952021467</v>
      </c>
    </row>
    <row r="193" spans="1:18">
      <c r="A193">
        <f t="shared" si="15"/>
        <v>226.47</v>
      </c>
      <c r="B193">
        <v>2258</v>
      </c>
      <c r="C193" s="1">
        <v>31.5</v>
      </c>
      <c r="D193" s="1"/>
      <c r="E193" s="1">
        <v>20.5</v>
      </c>
      <c r="F193" s="1"/>
      <c r="G193" s="1">
        <v>17</v>
      </c>
      <c r="H193" s="1"/>
      <c r="I193">
        <v>83.385000000000005</v>
      </c>
      <c r="J193">
        <v>-146.4</v>
      </c>
      <c r="N193" s="1"/>
      <c r="O193" s="1">
        <v>0.3</v>
      </c>
      <c r="P193">
        <f t="shared" si="17"/>
        <v>87.204309846699871</v>
      </c>
      <c r="Q193">
        <f t="shared" si="18"/>
        <v>85.473175992022917</v>
      </c>
      <c r="R193">
        <f t="shared" si="19"/>
        <v>87.847077198473329</v>
      </c>
    </row>
    <row r="194" spans="1:18">
      <c r="A194">
        <f t="shared" si="15"/>
        <v>226.97</v>
      </c>
      <c r="B194">
        <v>2320</v>
      </c>
      <c r="C194" s="1">
        <v>35</v>
      </c>
      <c r="D194" s="1"/>
      <c r="E194" s="1">
        <v>22.5</v>
      </c>
      <c r="F194" s="1"/>
      <c r="G194" s="1">
        <v>19.5</v>
      </c>
      <c r="H194" s="1"/>
      <c r="I194">
        <v>83.381</v>
      </c>
      <c r="J194">
        <v>-154</v>
      </c>
      <c r="N194" s="1"/>
      <c r="O194" s="1">
        <v>0.3</v>
      </c>
      <c r="P194">
        <f t="shared" si="17"/>
        <v>88.119459657913367</v>
      </c>
      <c r="Q194">
        <f t="shared" si="18"/>
        <v>86.281749133135094</v>
      </c>
      <c r="R194">
        <f t="shared" si="19"/>
        <v>89.038790998158206</v>
      </c>
    </row>
    <row r="195" spans="1:18">
      <c r="A195">
        <f t="shared" si="15"/>
        <v>227.47</v>
      </c>
      <c r="B195">
        <v>2384</v>
      </c>
      <c r="C195" s="1">
        <v>38</v>
      </c>
      <c r="D195" s="1"/>
      <c r="E195" s="1">
        <v>25</v>
      </c>
      <c r="F195" s="1"/>
      <c r="G195" s="1">
        <v>22</v>
      </c>
      <c r="H195" s="1"/>
      <c r="I195">
        <v>83.141999999999996</v>
      </c>
      <c r="J195">
        <v>-165.7</v>
      </c>
      <c r="N195" s="1"/>
      <c r="O195" s="1">
        <v>0.2573333333333333</v>
      </c>
      <c r="P195">
        <f t="shared" si="17"/>
        <v>88.876437369910704</v>
      </c>
      <c r="Q195">
        <f t="shared" si="18"/>
        <v>87.239565611015252</v>
      </c>
      <c r="R195">
        <f t="shared" si="19"/>
        <v>90.129219054018634</v>
      </c>
    </row>
    <row r="196" spans="1:18">
      <c r="A196">
        <f t="shared" si="15"/>
        <v>227.97</v>
      </c>
      <c r="B196">
        <v>2448</v>
      </c>
      <c r="C196" s="1">
        <v>39</v>
      </c>
      <c r="D196" s="1"/>
      <c r="E196" s="1">
        <v>29</v>
      </c>
      <c r="F196" s="1"/>
      <c r="G196" s="1">
        <v>23.5</v>
      </c>
      <c r="H196" s="1"/>
      <c r="I196">
        <v>82.792000000000002</v>
      </c>
      <c r="J196">
        <v>-172.4</v>
      </c>
      <c r="N196" s="1"/>
      <c r="O196" s="1">
        <v>0.21466666666666667</v>
      </c>
      <c r="P196">
        <f t="shared" si="17"/>
        <v>89.144724244771155</v>
      </c>
      <c r="Q196">
        <f t="shared" si="18"/>
        <v>88.571392062220298</v>
      </c>
      <c r="R196">
        <f t="shared" si="19"/>
        <v>90.744789349675898</v>
      </c>
    </row>
    <row r="197" spans="1:18">
      <c r="A197">
        <f t="shared" si="15"/>
        <v>228.47</v>
      </c>
      <c r="B197">
        <v>2516</v>
      </c>
      <c r="C197" s="1">
        <v>37</v>
      </c>
      <c r="D197" s="1"/>
      <c r="E197" s="1">
        <v>33</v>
      </c>
      <c r="F197" s="1"/>
      <c r="G197" s="1">
        <v>24</v>
      </c>
      <c r="H197" s="1"/>
      <c r="I197">
        <v>82.507999999999996</v>
      </c>
      <c r="J197">
        <v>-172.4</v>
      </c>
      <c r="N197" s="1"/>
      <c r="O197" s="1">
        <v>0.22875000000000001</v>
      </c>
      <c r="P197">
        <f t="shared" si="17"/>
        <v>88.673383252247746</v>
      </c>
      <c r="Q197">
        <f t="shared" si="18"/>
        <v>89.679627568465591</v>
      </c>
      <c r="R197">
        <f t="shared" si="19"/>
        <v>90.913573605139959</v>
      </c>
    </row>
    <row r="198" spans="1:18">
      <c r="A198">
        <f t="shared" si="15"/>
        <v>228.97</v>
      </c>
      <c r="B198">
        <v>2584</v>
      </c>
      <c r="C198" s="1">
        <v>32</v>
      </c>
      <c r="D198" s="1"/>
      <c r="E198" s="1">
        <v>39</v>
      </c>
      <c r="F198" s="1"/>
      <c r="G198" s="1">
        <v>24</v>
      </c>
      <c r="H198" s="1"/>
      <c r="I198">
        <v>82.331999999999994</v>
      </c>
      <c r="J198">
        <v>-173.5</v>
      </c>
      <c r="N198" s="1"/>
      <c r="O198" s="1">
        <v>0.27124999999999999</v>
      </c>
      <c r="P198">
        <f t="shared" si="17"/>
        <v>87.369848337305982</v>
      </c>
      <c r="Q198">
        <f t="shared" si="18"/>
        <v>91.088140911437833</v>
      </c>
      <c r="R198">
        <f t="shared" si="19"/>
        <v>90.871073605139969</v>
      </c>
    </row>
    <row r="199" spans="1:18">
      <c r="A199">
        <f t="shared" si="15"/>
        <v>229.47</v>
      </c>
      <c r="B199">
        <v>2656</v>
      </c>
      <c r="C199" s="1">
        <v>25</v>
      </c>
      <c r="D199" s="1"/>
      <c r="E199" s="1">
        <v>40</v>
      </c>
      <c r="F199" s="1"/>
      <c r="G199" s="1">
        <v>18</v>
      </c>
      <c r="H199" s="1"/>
      <c r="I199">
        <v>82.138000000000005</v>
      </c>
      <c r="J199">
        <v>-179.8</v>
      </c>
      <c r="N199" s="1"/>
      <c r="O199" s="1">
        <v>0.23499999999999999</v>
      </c>
      <c r="P199">
        <f t="shared" si="17"/>
        <v>85.261898944348602</v>
      </c>
      <c r="Q199">
        <f t="shared" si="18"/>
        <v>91.344298597467088</v>
      </c>
      <c r="R199">
        <f t="shared" si="19"/>
        <v>88.408548872973967</v>
      </c>
    </row>
    <row r="200" spans="1:18">
      <c r="A200">
        <f t="shared" si="15"/>
        <v>229.97</v>
      </c>
      <c r="B200">
        <v>2728</v>
      </c>
      <c r="C200" s="1">
        <v>17</v>
      </c>
      <c r="D200" s="1"/>
      <c r="E200" s="1">
        <v>37</v>
      </c>
      <c r="F200" s="1"/>
      <c r="G200" s="1">
        <v>13</v>
      </c>
      <c r="H200" s="1"/>
      <c r="I200">
        <v>81.891000000000005</v>
      </c>
      <c r="J200">
        <v>173.52</v>
      </c>
      <c r="N200" s="1"/>
      <c r="O200" s="1">
        <v>5.4999999999999966E-2</v>
      </c>
      <c r="P200">
        <f t="shared" si="17"/>
        <v>82.092077198473319</v>
      </c>
      <c r="Q200">
        <f t="shared" si="18"/>
        <v>90.84713325224773</v>
      </c>
      <c r="R200">
        <f t="shared" si="19"/>
        <v>85.761965817044569</v>
      </c>
    </row>
    <row r="201" spans="1:18">
      <c r="A201">
        <f t="shared" si="15"/>
        <v>230.47</v>
      </c>
      <c r="B201">
        <v>2802</v>
      </c>
      <c r="C201" s="1">
        <v>10</v>
      </c>
      <c r="D201" s="1"/>
      <c r="E201" s="1">
        <v>29</v>
      </c>
      <c r="F201" s="1"/>
      <c r="G201" s="1">
        <v>8</v>
      </c>
      <c r="H201" s="1"/>
      <c r="I201">
        <v>81.793999999999997</v>
      </c>
      <c r="J201">
        <v>172.18</v>
      </c>
      <c r="N201" s="1"/>
      <c r="O201" s="1">
        <v>-0.1</v>
      </c>
      <c r="P201">
        <f t="shared" si="17"/>
        <v>77.638098770907845</v>
      </c>
      <c r="Q201">
        <f t="shared" si="18"/>
        <v>88.886058728886965</v>
      </c>
      <c r="R201">
        <f t="shared" si="19"/>
        <v>81.699898510746706</v>
      </c>
    </row>
    <row r="202" spans="1:18">
      <c r="A202">
        <f t="shared" si="15"/>
        <v>230.97</v>
      </c>
      <c r="B202">
        <v>2880</v>
      </c>
      <c r="C202" s="1">
        <v>7.5</v>
      </c>
      <c r="D202" s="1"/>
      <c r="E202" s="1">
        <v>19</v>
      </c>
      <c r="F202" s="1"/>
      <c r="G202" s="1">
        <v>5</v>
      </c>
      <c r="H202" s="1"/>
      <c r="I202">
        <v>82.091999999999999</v>
      </c>
      <c r="J202">
        <v>176.86</v>
      </c>
      <c r="N202" s="1"/>
      <c r="O202" s="1">
        <v>-0.1</v>
      </c>
      <c r="P202">
        <f t="shared" si="17"/>
        <v>75.139324038741847</v>
      </c>
      <c r="Q202">
        <f t="shared" si="18"/>
        <v>85.213170789964408</v>
      </c>
      <c r="R202">
        <f t="shared" si="19"/>
        <v>77.61749885762822</v>
      </c>
    </row>
    <row r="203" spans="1:18">
      <c r="A203">
        <f t="shared" si="15"/>
        <v>231.47</v>
      </c>
      <c r="B203">
        <v>2958</v>
      </c>
      <c r="C203" s="1">
        <v>7.5</v>
      </c>
      <c r="D203" s="1"/>
      <c r="E203" s="1">
        <v>12</v>
      </c>
      <c r="F203" s="1"/>
      <c r="G203" s="1">
        <v>4.5</v>
      </c>
      <c r="H203" s="1"/>
      <c r="I203">
        <v>82.843000000000004</v>
      </c>
      <c r="J203">
        <v>-178.2</v>
      </c>
      <c r="N203" s="1"/>
      <c r="O203" s="1">
        <v>-0.1</v>
      </c>
      <c r="P203">
        <f t="shared" si="17"/>
        <v>75.139324038741847</v>
      </c>
      <c r="Q203">
        <f t="shared" si="18"/>
        <v>81.221723691860333</v>
      </c>
      <c r="R203">
        <f t="shared" si="19"/>
        <v>76.70234904641471</v>
      </c>
    </row>
    <row r="204" spans="1:18">
      <c r="A204">
        <f t="shared" si="15"/>
        <v>231.97</v>
      </c>
      <c r="B204">
        <v>3040</v>
      </c>
      <c r="C204" s="1">
        <v>8.5</v>
      </c>
      <c r="D204" s="1"/>
      <c r="E204" s="1">
        <v>9.5</v>
      </c>
      <c r="F204" s="1"/>
      <c r="G204" s="1">
        <v>5</v>
      </c>
      <c r="H204" s="1"/>
      <c r="I204">
        <v>83.866</v>
      </c>
      <c r="J204">
        <v>-176.3</v>
      </c>
      <c r="N204" s="1"/>
      <c r="O204" s="1">
        <v>-6.3157894736842107E-2</v>
      </c>
      <c r="P204">
        <f t="shared" si="17"/>
        <v>76.189635179930548</v>
      </c>
      <c r="Q204">
        <f t="shared" si="18"/>
        <v>79.15572877142165</v>
      </c>
      <c r="R204">
        <f t="shared" si="19"/>
        <v>77.580656752365073</v>
      </c>
    </row>
    <row r="205" spans="1:18">
      <c r="A205">
        <f t="shared" si="15"/>
        <v>232.47</v>
      </c>
      <c r="B205">
        <v>3124</v>
      </c>
      <c r="C205" s="1">
        <v>12.5</v>
      </c>
      <c r="D205" s="1"/>
      <c r="E205" s="1">
        <v>6.5</v>
      </c>
      <c r="F205" s="1"/>
      <c r="G205" s="1">
        <v>8</v>
      </c>
      <c r="H205" s="1"/>
      <c r="I205">
        <v>84.926000000000002</v>
      </c>
      <c r="J205">
        <v>-175.2</v>
      </c>
      <c r="N205" s="1"/>
      <c r="O205" s="1">
        <v>-1.8947368421052629E-2</v>
      </c>
      <c r="P205">
        <f t="shared" si="17"/>
        <v>79.495246399490028</v>
      </c>
      <c r="Q205">
        <f t="shared" si="18"/>
        <v>75.815313272186003</v>
      </c>
      <c r="R205">
        <f t="shared" si="19"/>
        <v>81.618845879167765</v>
      </c>
    </row>
    <row r="206" spans="1:18">
      <c r="A206">
        <f t="shared" si="15"/>
        <v>232.97</v>
      </c>
      <c r="B206">
        <v>3208</v>
      </c>
      <c r="C206" s="1">
        <v>20</v>
      </c>
      <c r="D206" s="1"/>
      <c r="E206" s="1">
        <v>10</v>
      </c>
      <c r="F206" s="1"/>
      <c r="G206" s="1">
        <v>12.5</v>
      </c>
      <c r="H206" s="1"/>
      <c r="I206">
        <v>85.962999999999994</v>
      </c>
      <c r="J206">
        <v>-173.2</v>
      </c>
      <c r="N206" s="1"/>
      <c r="O206" s="1">
        <v>4.8000000000000001E-2</v>
      </c>
      <c r="P206">
        <f t="shared" si="17"/>
        <v>83.510698684187474</v>
      </c>
      <c r="Q206">
        <f t="shared" si="18"/>
        <v>79.490098770907849</v>
      </c>
      <c r="R206">
        <f t="shared" si="19"/>
        <v>85.42829903106896</v>
      </c>
    </row>
    <row r="207" spans="1:18">
      <c r="A207">
        <f t="shared" si="15"/>
        <v>233.47</v>
      </c>
      <c r="B207">
        <v>3296</v>
      </c>
      <c r="C207" s="1">
        <v>28</v>
      </c>
      <c r="D207" s="1"/>
      <c r="E207" s="1">
        <v>20</v>
      </c>
      <c r="F207" s="1"/>
      <c r="G207" s="1">
        <v>16</v>
      </c>
      <c r="H207" s="1"/>
      <c r="I207">
        <v>87.052000000000007</v>
      </c>
      <c r="J207">
        <v>-172.1</v>
      </c>
      <c r="N207" s="1"/>
      <c r="O207" s="1">
        <v>0.13600000000000001</v>
      </c>
      <c r="P207">
        <f t="shared" si="17"/>
        <v>86.345259397752244</v>
      </c>
      <c r="Q207">
        <f t="shared" si="18"/>
        <v>85.422698684187466</v>
      </c>
      <c r="R207">
        <f t="shared" si="19"/>
        <v>87.484498424026341</v>
      </c>
    </row>
    <row r="208" spans="1:18">
      <c r="A208">
        <f t="shared" si="15"/>
        <v>233.97</v>
      </c>
      <c r="B208">
        <v>3386</v>
      </c>
      <c r="C208" s="1">
        <v>30</v>
      </c>
      <c r="D208" s="1"/>
      <c r="E208" s="1">
        <v>30</v>
      </c>
      <c r="F208" s="1"/>
      <c r="G208" s="1">
        <v>16</v>
      </c>
      <c r="H208" s="1"/>
      <c r="I208">
        <v>88.210999999999999</v>
      </c>
      <c r="J208">
        <v>-178.6</v>
      </c>
      <c r="N208" s="1"/>
      <c r="O208" s="1">
        <v>0.22476190476190477</v>
      </c>
      <c r="P208">
        <f t="shared" si="17"/>
        <v>86.855761960539198</v>
      </c>
      <c r="Q208">
        <f t="shared" si="18"/>
        <v>88.855761960539184</v>
      </c>
      <c r="R208">
        <f t="shared" si="19"/>
        <v>87.395736519264432</v>
      </c>
    </row>
    <row r="209" spans="1:18">
      <c r="A209">
        <f t="shared" si="15"/>
        <v>234.47</v>
      </c>
      <c r="B209">
        <v>3480</v>
      </c>
      <c r="C209" s="1">
        <v>27.5</v>
      </c>
      <c r="D209" s="1"/>
      <c r="E209" s="1">
        <v>32</v>
      </c>
      <c r="F209" s="1"/>
      <c r="G209" s="1">
        <v>13</v>
      </c>
      <c r="H209" s="1"/>
      <c r="I209">
        <v>89.17</v>
      </c>
      <c r="J209">
        <v>160.86000000000001</v>
      </c>
      <c r="N209" s="1"/>
      <c r="O209" s="1">
        <v>0.31428571428571428</v>
      </c>
      <c r="P209">
        <f t="shared" si="17"/>
        <v>86.010466933227377</v>
      </c>
      <c r="Q209">
        <f t="shared" si="18"/>
        <v>89.326812623020245</v>
      </c>
      <c r="R209">
        <f t="shared" si="19"/>
        <v>85.502680102758859</v>
      </c>
    </row>
    <row r="210" spans="1:18">
      <c r="A210">
        <f t="shared" si="15"/>
        <v>234.97</v>
      </c>
      <c r="B210">
        <v>3574</v>
      </c>
      <c r="C210" s="1">
        <v>20</v>
      </c>
      <c r="D210" s="1"/>
      <c r="E210" s="1">
        <v>27</v>
      </c>
      <c r="F210" s="1"/>
      <c r="G210" s="1">
        <v>8.5</v>
      </c>
      <c r="H210" s="1"/>
      <c r="I210">
        <v>89.516999999999996</v>
      </c>
      <c r="J210">
        <v>129.47</v>
      </c>
      <c r="N210" s="1"/>
      <c r="O210" s="1">
        <v>0.40521739130434786</v>
      </c>
      <c r="P210">
        <f t="shared" si="17"/>
        <v>83.153481292883129</v>
      </c>
      <c r="Q210">
        <f t="shared" si="18"/>
        <v>87.760156662783245</v>
      </c>
      <c r="R210">
        <f t="shared" si="19"/>
        <v>81.721259893889354</v>
      </c>
    </row>
    <row r="211" spans="1:18">
      <c r="A211">
        <f t="shared" si="15"/>
        <v>235.47</v>
      </c>
      <c r="B211">
        <v>3672</v>
      </c>
      <c r="C211" s="1">
        <v>15</v>
      </c>
      <c r="D211" s="1"/>
      <c r="E211" s="1">
        <v>19</v>
      </c>
      <c r="F211" s="1"/>
      <c r="G211" s="1">
        <v>7</v>
      </c>
      <c r="H211" s="1"/>
      <c r="I211">
        <v>88.988</v>
      </c>
      <c r="J211">
        <v>99.963999999999999</v>
      </c>
      <c r="N211" s="1"/>
      <c r="O211" s="1">
        <v>0.53304347826086951</v>
      </c>
      <c r="P211">
        <f t="shared" si="17"/>
        <v>80.526880473760613</v>
      </c>
      <c r="Q211">
        <f t="shared" si="18"/>
        <v>84.580127311703549</v>
      </c>
      <c r="R211">
        <f t="shared" si="19"/>
        <v>79.90701609293211</v>
      </c>
    </row>
    <row r="212" spans="1:18">
      <c r="A212">
        <f t="shared" ref="A212:A274" si="22">+A211+0.5</f>
        <v>235.97</v>
      </c>
      <c r="B212">
        <v>3772</v>
      </c>
      <c r="C212" s="1">
        <v>12.5</v>
      </c>
      <c r="D212" s="1"/>
      <c r="E212" s="1">
        <v>16</v>
      </c>
      <c r="F212" s="1"/>
      <c r="G212" s="1">
        <v>5.5</v>
      </c>
      <c r="H212" s="1"/>
      <c r="I212">
        <v>87.631</v>
      </c>
      <c r="J212">
        <v>79.798000000000002</v>
      </c>
      <c r="N212" s="1"/>
      <c r="O212" s="1">
        <v>0.66347826086956518</v>
      </c>
      <c r="P212">
        <f t="shared" si="17"/>
        <v>78.812820770199409</v>
      </c>
      <c r="Q212">
        <f t="shared" si="18"/>
        <v>82.95702016315677</v>
      </c>
      <c r="R212">
        <f t="shared" si="19"/>
        <v>77.681874299923152</v>
      </c>
    </row>
    <row r="213" spans="1:18">
      <c r="A213">
        <f t="shared" si="22"/>
        <v>236.47</v>
      </c>
      <c r="B213">
        <v>3876</v>
      </c>
      <c r="C213" s="1">
        <v>9.5</v>
      </c>
      <c r="D213" s="1"/>
      <c r="E213" s="1">
        <v>12</v>
      </c>
      <c r="F213" s="1"/>
      <c r="G213" s="1">
        <v>4</v>
      </c>
      <c r="H213" s="1"/>
      <c r="I213">
        <v>85.799000000000007</v>
      </c>
      <c r="J213">
        <v>65.64</v>
      </c>
      <c r="N213" s="1"/>
      <c r="O213" s="1">
        <v>0.7</v>
      </c>
      <c r="P213">
        <f t="shared" si="17"/>
        <v>76.3925708766848</v>
      </c>
      <c r="Q213">
        <f t="shared" si="18"/>
        <v>80.421723691860336</v>
      </c>
      <c r="R213">
        <f t="shared" si="19"/>
        <v>74.879298597467084</v>
      </c>
    </row>
    <row r="214" spans="1:18">
      <c r="A214">
        <f t="shared" si="22"/>
        <v>236.97</v>
      </c>
      <c r="B214">
        <v>3982</v>
      </c>
      <c r="C214" s="1">
        <v>8.3000000000000007</v>
      </c>
      <c r="D214" s="1"/>
      <c r="E214" s="1">
        <v>9</v>
      </c>
      <c r="F214" s="1"/>
      <c r="G214" s="1">
        <v>3.5</v>
      </c>
      <c r="H214" s="1"/>
      <c r="I214">
        <v>83.762</v>
      </c>
      <c r="J214">
        <v>54.582000000000001</v>
      </c>
      <c r="N214" s="1"/>
      <c r="O214" s="1">
        <v>0.7</v>
      </c>
      <c r="P214">
        <f t="shared" si="17"/>
        <v>75.21966061842933</v>
      </c>
      <c r="Q214">
        <f t="shared" si="18"/>
        <v>77.922948959694338</v>
      </c>
      <c r="R214">
        <f t="shared" si="19"/>
        <v>73.719459657913347</v>
      </c>
    </row>
    <row r="215" spans="1:18">
      <c r="A215">
        <f t="shared" si="22"/>
        <v>237.47</v>
      </c>
      <c r="B215">
        <v>4092</v>
      </c>
      <c r="C215" s="1">
        <v>8</v>
      </c>
      <c r="D215" s="1"/>
      <c r="E215" s="1">
        <v>6</v>
      </c>
      <c r="F215" s="1"/>
      <c r="G215" s="1">
        <v>3.3</v>
      </c>
      <c r="H215" s="1"/>
      <c r="I215">
        <v>81.768000000000001</v>
      </c>
      <c r="J215">
        <v>47.841000000000001</v>
      </c>
      <c r="N215" s="1"/>
      <c r="O215" s="1">
        <v>0.7208</v>
      </c>
      <c r="P215">
        <f t="shared" si="17"/>
        <v>74.879098510746729</v>
      </c>
      <c r="Q215">
        <f t="shared" si="18"/>
        <v>74.380323778580717</v>
      </c>
      <c r="R215">
        <f t="shared" si="19"/>
        <v>73.187577568465599</v>
      </c>
    </row>
    <row r="216" spans="1:18">
      <c r="A216">
        <f t="shared" si="22"/>
        <v>237.97</v>
      </c>
      <c r="B216">
        <v>4202</v>
      </c>
      <c r="C216" s="1">
        <v>8</v>
      </c>
      <c r="D216" s="1"/>
      <c r="E216" s="1">
        <v>7</v>
      </c>
      <c r="F216" s="1"/>
      <c r="G216" s="1">
        <v>4.5</v>
      </c>
      <c r="H216" s="1"/>
      <c r="I216">
        <v>80.241</v>
      </c>
      <c r="J216">
        <v>46.921999999999997</v>
      </c>
      <c r="N216" s="1"/>
      <c r="O216" s="1">
        <v>0.76480000000000004</v>
      </c>
      <c r="P216">
        <f t="shared" si="17"/>
        <v>74.835098510746732</v>
      </c>
      <c r="Q216">
        <f t="shared" si="18"/>
        <v>75.675259571192981</v>
      </c>
      <c r="R216">
        <f t="shared" si="19"/>
        <v>75.837549046414722</v>
      </c>
    </row>
    <row r="217" spans="1:18">
      <c r="A217">
        <f t="shared" si="22"/>
        <v>238.47</v>
      </c>
      <c r="B217">
        <v>4318</v>
      </c>
      <c r="C217" s="1">
        <v>8</v>
      </c>
      <c r="D217" s="1"/>
      <c r="E217" s="1">
        <v>6</v>
      </c>
      <c r="F217" s="1"/>
      <c r="G217" s="1">
        <v>4.7</v>
      </c>
      <c r="H217" s="1"/>
      <c r="I217">
        <v>79.575000000000003</v>
      </c>
      <c r="J217">
        <v>50.634</v>
      </c>
      <c r="N217" s="1"/>
      <c r="O217" s="1">
        <v>0.81</v>
      </c>
      <c r="P217">
        <f t="shared" si="17"/>
        <v>74.789898510746724</v>
      </c>
      <c r="Q217">
        <f t="shared" si="18"/>
        <v>74.291123778580712</v>
      </c>
      <c r="R217">
        <f t="shared" si="19"/>
        <v>76.170055929622194</v>
      </c>
    </row>
    <row r="218" spans="1:18">
      <c r="A218">
        <f t="shared" si="22"/>
        <v>238.97</v>
      </c>
      <c r="B218">
        <v>4436</v>
      </c>
      <c r="C218" s="1">
        <v>8.5</v>
      </c>
      <c r="D218" s="1"/>
      <c r="E218" s="1">
        <v>8</v>
      </c>
      <c r="F218" s="1"/>
      <c r="G218" s="1">
        <v>5</v>
      </c>
      <c r="H218" s="1"/>
      <c r="I218">
        <v>79.786000000000001</v>
      </c>
      <c r="J218">
        <v>52.155999999999999</v>
      </c>
      <c r="N218" s="1"/>
      <c r="O218" s="1">
        <v>0.8521428571428572</v>
      </c>
      <c r="P218">
        <f t="shared" si="17"/>
        <v>75.27433442805085</v>
      </c>
      <c r="Q218">
        <f t="shared" si="18"/>
        <v>76.747755653603861</v>
      </c>
      <c r="R218">
        <f t="shared" si="19"/>
        <v>76.665356000485374</v>
      </c>
    </row>
    <row r="219" spans="1:18">
      <c r="A219">
        <f t="shared" si="22"/>
        <v>239.47</v>
      </c>
      <c r="B219">
        <v>4558</v>
      </c>
      <c r="C219" s="1">
        <v>9.5</v>
      </c>
      <c r="D219" s="1"/>
      <c r="E219" s="1">
        <v>10</v>
      </c>
      <c r="F219" s="1"/>
      <c r="G219" s="1">
        <v>5</v>
      </c>
      <c r="H219" s="1"/>
      <c r="I219">
        <v>80.305000000000007</v>
      </c>
      <c r="J219">
        <v>41.814999999999998</v>
      </c>
      <c r="N219" s="1"/>
      <c r="O219" s="1">
        <v>0.89571428571428569</v>
      </c>
      <c r="P219">
        <f t="shared" si="17"/>
        <v>76.196856590970512</v>
      </c>
      <c r="Q219">
        <f t="shared" si="18"/>
        <v>78.64238448519356</v>
      </c>
      <c r="R219">
        <f t="shared" si="19"/>
        <v>76.621784571913935</v>
      </c>
    </row>
    <row r="220" spans="1:18">
      <c r="A220">
        <f t="shared" si="22"/>
        <v>239.97</v>
      </c>
      <c r="B220">
        <v>4682</v>
      </c>
      <c r="C220" s="1">
        <v>7</v>
      </c>
      <c r="D220" s="1"/>
      <c r="E220" s="1">
        <v>9</v>
      </c>
      <c r="F220" s="1"/>
      <c r="G220" s="1">
        <v>3.5</v>
      </c>
      <c r="H220" s="1"/>
      <c r="I220">
        <v>80.388999999999996</v>
      </c>
      <c r="J220">
        <v>18.686</v>
      </c>
      <c r="N220" s="1"/>
      <c r="O220" s="1">
        <v>1.0158620689655173</v>
      </c>
      <c r="P220">
        <f t="shared" si="17"/>
        <v>73.424197502227472</v>
      </c>
      <c r="Q220">
        <f t="shared" si="18"/>
        <v>77.607086890728823</v>
      </c>
      <c r="R220">
        <f t="shared" si="19"/>
        <v>73.403597588947832</v>
      </c>
    </row>
    <row r="221" spans="1:18">
      <c r="A221">
        <f t="shared" si="22"/>
        <v>240.47</v>
      </c>
      <c r="B221">
        <v>4810</v>
      </c>
      <c r="C221" s="1">
        <v>5.5</v>
      </c>
      <c r="D221" s="1"/>
      <c r="E221" s="1">
        <v>6</v>
      </c>
      <c r="F221" s="1"/>
      <c r="G221" s="1">
        <v>2.8</v>
      </c>
      <c r="H221" s="1"/>
      <c r="I221">
        <v>79.875</v>
      </c>
      <c r="J221">
        <v>-4.0830000000000002</v>
      </c>
      <c r="N221" s="1"/>
      <c r="O221" s="1">
        <v>1.1482758620689655</v>
      </c>
      <c r="P221">
        <f t="shared" si="17"/>
        <v>71.197076698723748</v>
      </c>
      <c r="Q221">
        <f t="shared" si="18"/>
        <v>73.952847916511743</v>
      </c>
      <c r="R221">
        <f t="shared" si="19"/>
        <v>71.332983535683255</v>
      </c>
    </row>
    <row r="222" spans="1:18">
      <c r="A222">
        <f t="shared" si="22"/>
        <v>240.97</v>
      </c>
      <c r="B222">
        <v>4942</v>
      </c>
      <c r="C222" s="1">
        <v>6.5</v>
      </c>
      <c r="D222" s="1"/>
      <c r="E222" s="1">
        <v>5</v>
      </c>
      <c r="F222" s="1"/>
      <c r="G222" s="1">
        <v>2.7</v>
      </c>
      <c r="H222" s="1"/>
      <c r="I222">
        <v>79.221000000000004</v>
      </c>
      <c r="J222">
        <v>-14.5</v>
      </c>
      <c r="N222" s="1"/>
      <c r="O222" s="1">
        <v>1.2546666666666666</v>
      </c>
      <c r="P222">
        <f t="shared" si="17"/>
        <v>72.541699237098285</v>
      </c>
      <c r="Q222">
        <f t="shared" si="18"/>
        <v>72.262832190961561</v>
      </c>
      <c r="R222">
        <f t="shared" si="19"/>
        <v>70.910707387420928</v>
      </c>
    </row>
    <row r="223" spans="1:18">
      <c r="A223">
        <f t="shared" si="22"/>
        <v>241.47</v>
      </c>
      <c r="B223">
        <v>5078</v>
      </c>
      <c r="C223" s="1">
        <v>7</v>
      </c>
      <c r="D223" s="1"/>
      <c r="E223" s="1">
        <v>4</v>
      </c>
      <c r="F223" s="1"/>
      <c r="G223" s="1">
        <v>2.7</v>
      </c>
      <c r="H223" s="1"/>
      <c r="I223">
        <v>78.792000000000002</v>
      </c>
      <c r="J223">
        <v>-17.66</v>
      </c>
      <c r="N223" s="1"/>
      <c r="O223" s="1">
        <v>1.3453333333333333</v>
      </c>
      <c r="P223">
        <f t="shared" si="17"/>
        <v>73.094726237859661</v>
      </c>
      <c r="Q223">
        <f t="shared" si="18"/>
        <v>70.233965264133758</v>
      </c>
      <c r="R223">
        <f t="shared" si="19"/>
        <v>70.820040720754264</v>
      </c>
    </row>
    <row r="224" spans="1:18">
      <c r="A224">
        <f t="shared" si="22"/>
        <v>241.97</v>
      </c>
      <c r="B224">
        <v>5216</v>
      </c>
      <c r="C224" s="1">
        <v>7</v>
      </c>
      <c r="D224" s="1"/>
      <c r="E224" s="1">
        <v>5</v>
      </c>
      <c r="F224" s="1"/>
      <c r="G224" s="1">
        <v>2.7</v>
      </c>
      <c r="H224" s="1"/>
      <c r="I224">
        <v>78.433999999999997</v>
      </c>
      <c r="J224">
        <v>-27.53</v>
      </c>
      <c r="N224" s="1"/>
      <c r="O224" s="1">
        <v>1.416969696969697</v>
      </c>
      <c r="P224">
        <f t="shared" si="17"/>
        <v>73.023089874223288</v>
      </c>
      <c r="Q224">
        <f t="shared" si="18"/>
        <v>72.100529160658525</v>
      </c>
      <c r="R224">
        <f t="shared" si="19"/>
        <v>70.748404357117892</v>
      </c>
    </row>
    <row r="225" spans="1:18">
      <c r="A225">
        <f t="shared" si="22"/>
        <v>242.47</v>
      </c>
      <c r="B225">
        <v>5360</v>
      </c>
      <c r="C225" s="1">
        <v>6</v>
      </c>
      <c r="D225" s="1"/>
      <c r="E225" s="1">
        <v>6</v>
      </c>
      <c r="F225" s="1"/>
      <c r="G225" s="1">
        <v>2.7</v>
      </c>
      <c r="H225" s="1"/>
      <c r="I225">
        <v>77.712000000000003</v>
      </c>
      <c r="J225">
        <v>-47.01</v>
      </c>
      <c r="N225" s="1"/>
      <c r="O225" s="1">
        <v>1.4606060606060605</v>
      </c>
      <c r="P225">
        <f t="shared" si="17"/>
        <v>71.640517717974674</v>
      </c>
      <c r="Q225">
        <f t="shared" si="18"/>
        <v>73.64051771797466</v>
      </c>
      <c r="R225">
        <f t="shared" si="19"/>
        <v>70.704767993481539</v>
      </c>
    </row>
    <row r="226" spans="1:18">
      <c r="A226">
        <f t="shared" si="22"/>
        <v>242.97</v>
      </c>
      <c r="B226">
        <v>5506</v>
      </c>
      <c r="C226" s="1">
        <v>4</v>
      </c>
      <c r="D226" s="1"/>
      <c r="E226" s="1">
        <v>5</v>
      </c>
      <c r="F226" s="1"/>
      <c r="G226" s="1">
        <v>2.2999999999999998</v>
      </c>
      <c r="H226" s="1"/>
      <c r="I226">
        <v>76.388000000000005</v>
      </c>
      <c r="J226">
        <v>-64.540000000000006</v>
      </c>
      <c r="N226" s="1"/>
      <c r="O226" s="1">
        <v>1.5091428571428571</v>
      </c>
      <c r="P226">
        <f t="shared" si="17"/>
        <v>68.070155740324239</v>
      </c>
      <c r="Q226">
        <f t="shared" si="18"/>
        <v>72.008356000485364</v>
      </c>
      <c r="R226">
        <f t="shared" si="19"/>
        <v>69.263512634116836</v>
      </c>
    </row>
    <row r="227" spans="1:18">
      <c r="A227">
        <f t="shared" si="22"/>
        <v>243.47</v>
      </c>
      <c r="B227">
        <v>5658</v>
      </c>
      <c r="C227" s="1">
        <v>3.5</v>
      </c>
      <c r="D227" s="1"/>
      <c r="E227" s="1">
        <v>4</v>
      </c>
      <c r="F227" s="1"/>
      <c r="G227" s="1">
        <v>2</v>
      </c>
      <c r="H227" s="1"/>
      <c r="I227">
        <v>74.756</v>
      </c>
      <c r="J227">
        <v>-71.44</v>
      </c>
      <c r="N227" s="1"/>
      <c r="O227" s="1">
        <v>1.5960000000000001</v>
      </c>
      <c r="P227">
        <f t="shared" si="17"/>
        <v>66.823459657913361</v>
      </c>
      <c r="Q227">
        <f t="shared" si="18"/>
        <v>69.983298597467083</v>
      </c>
      <c r="R227">
        <f t="shared" si="19"/>
        <v>67.962698684187458</v>
      </c>
    </row>
    <row r="228" spans="1:18">
      <c r="A228">
        <f t="shared" si="22"/>
        <v>243.97</v>
      </c>
      <c r="B228">
        <v>5812</v>
      </c>
      <c r="C228" s="1">
        <v>3</v>
      </c>
      <c r="D228" s="1"/>
      <c r="E228" s="1">
        <v>3</v>
      </c>
      <c r="F228" s="1"/>
      <c r="G228" s="1">
        <v>1.5</v>
      </c>
      <c r="H228" s="1"/>
      <c r="I228">
        <v>73.411000000000001</v>
      </c>
      <c r="J228">
        <v>-68.05</v>
      </c>
      <c r="N228" s="1"/>
      <c r="O228" s="1">
        <v>1.6839999999999999</v>
      </c>
      <c r="P228">
        <f t="shared" si="17"/>
        <v>65.396523865301106</v>
      </c>
      <c r="Q228">
        <f t="shared" si="18"/>
        <v>67.396523865301091</v>
      </c>
      <c r="R228">
        <f t="shared" si="19"/>
        <v>65.375923952021466</v>
      </c>
    </row>
    <row r="229" spans="1:18">
      <c r="A229">
        <f t="shared" si="22"/>
        <v>244.47</v>
      </c>
      <c r="B229">
        <v>5970</v>
      </c>
      <c r="C229" s="1">
        <v>2.5</v>
      </c>
      <c r="D229" s="1"/>
      <c r="E229" s="1">
        <v>2.2000000000000002</v>
      </c>
      <c r="F229" s="1"/>
      <c r="G229" s="1">
        <v>1.1000000000000001</v>
      </c>
      <c r="H229" s="1"/>
      <c r="I229">
        <v>72.614999999999995</v>
      </c>
      <c r="J229">
        <v>-59.46</v>
      </c>
      <c r="N229" s="1"/>
      <c r="O229" s="1">
        <v>1.7351351351351352</v>
      </c>
      <c r="P229">
        <f t="shared" si="17"/>
        <v>63.761763809213463</v>
      </c>
      <c r="Q229">
        <f t="shared" si="18"/>
        <v>64.651417252216831</v>
      </c>
      <c r="R229">
        <f t="shared" si="19"/>
        <v>62.630817338937206</v>
      </c>
    </row>
    <row r="230" spans="1:18">
      <c r="A230">
        <f t="shared" si="22"/>
        <v>244.97</v>
      </c>
      <c r="B230">
        <v>6134</v>
      </c>
      <c r="C230" s="1">
        <v>3</v>
      </c>
      <c r="D230" s="1"/>
      <c r="E230" s="1">
        <v>1.7</v>
      </c>
      <c r="F230" s="1"/>
      <c r="G230" s="1">
        <v>1</v>
      </c>
      <c r="H230" s="1"/>
      <c r="I230">
        <v>72.159000000000006</v>
      </c>
      <c r="J230">
        <v>-53</v>
      </c>
      <c r="N230" s="1"/>
      <c r="O230" s="1">
        <v>1.7794594594594595</v>
      </c>
      <c r="P230">
        <f t="shared" si="17"/>
        <v>65.301064405841643</v>
      </c>
      <c r="Q230">
        <f t="shared" si="18"/>
        <v>62.367617739013852</v>
      </c>
      <c r="R230">
        <f t="shared" si="19"/>
        <v>61.758639311448391</v>
      </c>
    </row>
    <row r="231" spans="1:18">
      <c r="A231">
        <f t="shared" si="22"/>
        <v>245.47</v>
      </c>
      <c r="B231">
        <v>6302</v>
      </c>
      <c r="C231" s="1">
        <v>3</v>
      </c>
      <c r="D231" s="1"/>
      <c r="E231" s="1">
        <v>1.7</v>
      </c>
      <c r="F231" s="1"/>
      <c r="G231" s="1"/>
      <c r="H231" s="1"/>
      <c r="I231">
        <v>71.682000000000002</v>
      </c>
      <c r="J231">
        <v>-46.31</v>
      </c>
      <c r="N231" s="1"/>
      <c r="O231" s="1">
        <v>1.7770000000000001</v>
      </c>
      <c r="P231">
        <f t="shared" si="17"/>
        <v>65.303523865301102</v>
      </c>
      <c r="Q231">
        <f t="shared" si="18"/>
        <v>62.370077198473311</v>
      </c>
      <c r="R231" t="e">
        <f t="shared" si="19"/>
        <v>#NUM!</v>
      </c>
    </row>
    <row r="232" spans="1:18">
      <c r="A232">
        <f t="shared" si="22"/>
        <v>245.97</v>
      </c>
      <c r="B232">
        <v>6476</v>
      </c>
      <c r="C232" s="1">
        <v>2.5</v>
      </c>
      <c r="D232" s="1"/>
      <c r="E232" s="1">
        <v>1.7</v>
      </c>
      <c r="F232" s="1"/>
      <c r="G232" s="1"/>
      <c r="H232" s="1"/>
      <c r="I232">
        <v>71.134</v>
      </c>
      <c r="J232">
        <v>-34.85</v>
      </c>
      <c r="N232" s="1"/>
      <c r="O232" s="1">
        <v>1.7335</v>
      </c>
      <c r="P232">
        <f t="shared" si="17"/>
        <v>63.763398944348602</v>
      </c>
      <c r="Q232">
        <f t="shared" si="18"/>
        <v>62.413577198473313</v>
      </c>
      <c r="R232" t="e">
        <f t="shared" si="19"/>
        <v>#NUM!</v>
      </c>
    </row>
    <row r="233" spans="1:18">
      <c r="A233">
        <f t="shared" si="22"/>
        <v>246.47</v>
      </c>
      <c r="B233">
        <v>6654</v>
      </c>
      <c r="C233" s="1">
        <v>1</v>
      </c>
      <c r="D233" s="1"/>
      <c r="E233" s="1">
        <v>1.2</v>
      </c>
      <c r="F233" s="1"/>
      <c r="G233" s="1"/>
      <c r="H233" s="1"/>
      <c r="I233">
        <v>70.966999999999999</v>
      </c>
      <c r="J233">
        <v>-27.21</v>
      </c>
      <c r="N233" s="1"/>
      <c r="O233" s="1">
        <v>1.6685714285714286</v>
      </c>
      <c r="P233">
        <f t="shared" ref="P233:P274" si="23">20*LOG(P$12*$C233/0.00002)-$N233-$O233+P$4</f>
        <v>55.869527342336418</v>
      </c>
      <c r="Q233">
        <f t="shared" ref="Q233:Q274" si="24">20*LOG(Q$12*$E233/0.00002)-$N233-$O233+Q$4</f>
        <v>59.453152263288914</v>
      </c>
      <c r="R233" t="e">
        <f t="shared" ref="R233:R274" si="25">20*LOG(R$12*$G233/0.00002)-$N233-$O233+R$4</f>
        <v>#NUM!</v>
      </c>
    </row>
    <row r="234" spans="1:18">
      <c r="A234">
        <f t="shared" si="22"/>
        <v>246.97</v>
      </c>
      <c r="B234">
        <v>6834</v>
      </c>
      <c r="C234" s="1">
        <v>1.5</v>
      </c>
      <c r="D234" s="1"/>
      <c r="E234" s="1">
        <v>2</v>
      </c>
      <c r="F234" s="1"/>
      <c r="G234" s="1"/>
      <c r="H234" s="1"/>
      <c r="I234">
        <v>71.563000000000002</v>
      </c>
      <c r="J234">
        <v>-31.66</v>
      </c>
      <c r="N234" s="1"/>
      <c r="O234" s="1">
        <v>1.54</v>
      </c>
      <c r="P234">
        <f t="shared" si="23"/>
        <v>59.519923952021472</v>
      </c>
      <c r="Q234">
        <f t="shared" si="24"/>
        <v>64.018698684187456</v>
      </c>
      <c r="R234" t="e">
        <f t="shared" si="25"/>
        <v>#NUM!</v>
      </c>
    </row>
    <row r="235" spans="1:18">
      <c r="A235">
        <f t="shared" si="22"/>
        <v>247.47</v>
      </c>
      <c r="B235">
        <v>7022</v>
      </c>
      <c r="C235" s="1"/>
      <c r="D235" s="1"/>
      <c r="E235" s="1">
        <v>2.5</v>
      </c>
      <c r="F235" s="1"/>
      <c r="G235" s="1"/>
      <c r="H235" s="1"/>
      <c r="I235">
        <v>72.492999999999995</v>
      </c>
      <c r="J235">
        <v>-56.46</v>
      </c>
      <c r="N235" s="1"/>
      <c r="O235" s="1">
        <v>1.4057142857142857</v>
      </c>
      <c r="P235" t="e">
        <f t="shared" si="23"/>
        <v>#NUM!</v>
      </c>
      <c r="Q235">
        <f t="shared" si="24"/>
        <v>66.091184658634319</v>
      </c>
      <c r="R235" t="e">
        <f t="shared" si="25"/>
        <v>#NUM!</v>
      </c>
    </row>
    <row r="236" spans="1:18">
      <c r="A236">
        <f t="shared" si="22"/>
        <v>247.97</v>
      </c>
      <c r="B236">
        <v>7214</v>
      </c>
      <c r="C236" s="1"/>
      <c r="D236" s="1"/>
      <c r="E236" s="1">
        <v>4</v>
      </c>
      <c r="F236" s="1"/>
      <c r="G236" s="1"/>
      <c r="H236" s="1"/>
      <c r="I236">
        <v>72.614999999999995</v>
      </c>
      <c r="J236">
        <v>-102.4</v>
      </c>
      <c r="N236" s="1"/>
      <c r="O236" s="1">
        <v>1.4836363636363636</v>
      </c>
      <c r="P236" t="e">
        <f t="shared" si="23"/>
        <v>#NUM!</v>
      </c>
      <c r="Q236">
        <f t="shared" si="24"/>
        <v>70.095662233830723</v>
      </c>
      <c r="R236" t="e">
        <f t="shared" si="25"/>
        <v>#NUM!</v>
      </c>
    </row>
    <row r="237" spans="1:18">
      <c r="A237">
        <f t="shared" si="22"/>
        <v>248.47</v>
      </c>
      <c r="B237">
        <v>7412</v>
      </c>
      <c r="C237" s="1"/>
      <c r="D237" s="1"/>
      <c r="E237" s="1">
        <v>5</v>
      </c>
      <c r="F237" s="1"/>
      <c r="G237" s="1"/>
      <c r="H237" s="1"/>
      <c r="I237">
        <v>71.054000000000002</v>
      </c>
      <c r="J237">
        <v>-141.80000000000001</v>
      </c>
      <c r="N237" s="1"/>
      <c r="O237" s="1">
        <v>1.5736363636363637</v>
      </c>
      <c r="P237" t="e">
        <f t="shared" si="23"/>
        <v>#NUM!</v>
      </c>
      <c r="Q237">
        <f t="shared" si="24"/>
        <v>71.943862493991858</v>
      </c>
      <c r="R237" t="e">
        <f t="shared" si="25"/>
        <v>#NUM!</v>
      </c>
    </row>
    <row r="238" spans="1:18">
      <c r="A238">
        <f t="shared" si="22"/>
        <v>248.97</v>
      </c>
      <c r="B238">
        <v>7614</v>
      </c>
      <c r="C238" s="1"/>
      <c r="D238" s="1"/>
      <c r="E238" s="1">
        <v>4</v>
      </c>
      <c r="F238" s="1"/>
      <c r="G238" s="1"/>
      <c r="H238" s="1"/>
      <c r="I238">
        <v>68.097999999999999</v>
      </c>
      <c r="J238">
        <v>-157.1</v>
      </c>
      <c r="N238" s="1"/>
      <c r="O238" s="1">
        <v>1.69</v>
      </c>
      <c r="P238" t="e">
        <f t="shared" si="23"/>
        <v>#NUM!</v>
      </c>
      <c r="Q238">
        <f t="shared" si="24"/>
        <v>69.889298597467089</v>
      </c>
      <c r="R238" t="e">
        <f t="shared" si="25"/>
        <v>#NUM!</v>
      </c>
    </row>
    <row r="239" spans="1:18">
      <c r="A239">
        <f t="shared" si="22"/>
        <v>249.47</v>
      </c>
      <c r="B239">
        <v>7822</v>
      </c>
      <c r="C239" s="1"/>
      <c r="D239" s="1"/>
      <c r="E239" s="1">
        <v>1.5</v>
      </c>
      <c r="F239" s="1"/>
      <c r="G239" s="1"/>
      <c r="H239" s="1"/>
      <c r="I239">
        <v>64.867000000000004</v>
      </c>
      <c r="J239">
        <v>-149.9</v>
      </c>
      <c r="N239" s="1"/>
      <c r="O239" s="1">
        <v>1.8199999999999998</v>
      </c>
      <c r="P239" t="e">
        <f t="shared" si="23"/>
        <v>#NUM!</v>
      </c>
      <c r="Q239">
        <f t="shared" si="24"/>
        <v>61.239923952021471</v>
      </c>
      <c r="R239" t="e">
        <f t="shared" si="25"/>
        <v>#NUM!</v>
      </c>
    </row>
    <row r="240" spans="1:18">
      <c r="A240">
        <f t="shared" si="22"/>
        <v>249.97</v>
      </c>
      <c r="B240">
        <v>8038</v>
      </c>
      <c r="C240" s="1"/>
      <c r="D240" s="1"/>
      <c r="E240" s="1">
        <v>1.5</v>
      </c>
      <c r="F240" s="1"/>
      <c r="G240" s="1"/>
      <c r="H240" s="1"/>
      <c r="I240">
        <v>62.482999999999997</v>
      </c>
      <c r="J240">
        <v>-150.6</v>
      </c>
      <c r="N240" s="1"/>
      <c r="O240" s="1">
        <v>1.8823999999999999</v>
      </c>
      <c r="P240" t="e">
        <f t="shared" si="23"/>
        <v>#NUM!</v>
      </c>
      <c r="Q240">
        <f t="shared" si="24"/>
        <v>61.177523952021474</v>
      </c>
      <c r="R240" t="e">
        <f t="shared" si="25"/>
        <v>#NUM!</v>
      </c>
    </row>
    <row r="241" spans="1:18">
      <c r="A241">
        <f t="shared" si="22"/>
        <v>250.47</v>
      </c>
      <c r="B241">
        <v>8258</v>
      </c>
      <c r="C241" s="1"/>
      <c r="D241" s="1"/>
      <c r="E241" s="1">
        <v>1</v>
      </c>
      <c r="F241" s="1"/>
      <c r="G241" s="1"/>
      <c r="H241" s="1"/>
      <c r="I241">
        <v>61.534999999999997</v>
      </c>
      <c r="J241">
        <v>-166.2</v>
      </c>
      <c r="N241" s="1"/>
      <c r="O241" s="1">
        <v>1.8384</v>
      </c>
      <c r="P241" t="e">
        <f t="shared" si="23"/>
        <v>#NUM!</v>
      </c>
      <c r="Q241">
        <f t="shared" si="24"/>
        <v>57.699698770907844</v>
      </c>
      <c r="R241" t="e">
        <f t="shared" si="25"/>
        <v>#NUM!</v>
      </c>
    </row>
    <row r="242" spans="1:18">
      <c r="A242">
        <f t="shared" si="22"/>
        <v>250.97</v>
      </c>
      <c r="B242">
        <v>8484</v>
      </c>
      <c r="C242" s="1"/>
      <c r="D242" s="1"/>
      <c r="E242" s="1"/>
      <c r="F242" s="1"/>
      <c r="G242" s="1"/>
      <c r="H242" s="1"/>
      <c r="I242">
        <v>61.601999999999997</v>
      </c>
      <c r="J242">
        <v>176</v>
      </c>
      <c r="N242" s="1"/>
      <c r="O242" s="1">
        <v>1.8251851851851852</v>
      </c>
      <c r="P242" t="e">
        <f t="shared" si="23"/>
        <v>#NUM!</v>
      </c>
      <c r="Q242" t="e">
        <f t="shared" si="24"/>
        <v>#NUM!</v>
      </c>
      <c r="R242" t="e">
        <f t="shared" si="25"/>
        <v>#NUM!</v>
      </c>
    </row>
    <row r="243" spans="1:18">
      <c r="A243">
        <f t="shared" si="22"/>
        <v>251.47</v>
      </c>
      <c r="B243">
        <v>8716</v>
      </c>
      <c r="C243" s="1"/>
      <c r="D243" s="1"/>
      <c r="E243" s="1"/>
      <c r="F243" s="1"/>
      <c r="G243" s="1"/>
      <c r="H243" s="1"/>
      <c r="I243">
        <v>61.673000000000002</v>
      </c>
      <c r="J243">
        <v>158.94</v>
      </c>
      <c r="N243" s="1"/>
      <c r="O243" s="1">
        <v>1.9970370370370372</v>
      </c>
      <c r="P243" t="e">
        <f t="shared" si="23"/>
        <v>#NUM!</v>
      </c>
      <c r="Q243" t="e">
        <f t="shared" si="24"/>
        <v>#NUM!</v>
      </c>
      <c r="R243" t="e">
        <f t="shared" si="25"/>
        <v>#NUM!</v>
      </c>
    </row>
    <row r="244" spans="1:18">
      <c r="A244">
        <f t="shared" si="22"/>
        <v>251.97</v>
      </c>
      <c r="B244">
        <v>8954</v>
      </c>
      <c r="C244" s="1"/>
      <c r="D244" s="1"/>
      <c r="E244" s="1"/>
      <c r="F244" s="1"/>
      <c r="G244" s="1"/>
      <c r="H244" s="1"/>
      <c r="I244">
        <v>60.805999999999997</v>
      </c>
      <c r="J244">
        <v>141.38</v>
      </c>
      <c r="N244" s="1"/>
      <c r="O244" s="1">
        <v>2.1733333333333333</v>
      </c>
      <c r="P244" t="e">
        <f t="shared" si="23"/>
        <v>#NUM!</v>
      </c>
      <c r="Q244" t="e">
        <f t="shared" si="24"/>
        <v>#NUM!</v>
      </c>
      <c r="R244" t="e">
        <f t="shared" si="25"/>
        <v>#NUM!</v>
      </c>
    </row>
    <row r="245" spans="1:18">
      <c r="A245">
        <f t="shared" si="22"/>
        <v>252.47</v>
      </c>
      <c r="B245">
        <v>9200</v>
      </c>
      <c r="C245" s="1"/>
      <c r="D245" s="1"/>
      <c r="E245" s="1"/>
      <c r="F245" s="1"/>
      <c r="G245" s="1"/>
      <c r="H245" s="1"/>
      <c r="I245">
        <v>58.558999999999997</v>
      </c>
      <c r="J245">
        <v>120.2</v>
      </c>
      <c r="N245" s="1"/>
      <c r="O245" s="1">
        <v>2.2736842105263158</v>
      </c>
      <c r="P245" t="e">
        <f t="shared" si="23"/>
        <v>#NUM!</v>
      </c>
      <c r="Q245" t="e">
        <f t="shared" si="24"/>
        <v>#NUM!</v>
      </c>
      <c r="R245" t="e">
        <f t="shared" si="25"/>
        <v>#NUM!</v>
      </c>
    </row>
    <row r="246" spans="1:18">
      <c r="A246">
        <f t="shared" si="22"/>
        <v>252.97</v>
      </c>
      <c r="B246">
        <v>9452</v>
      </c>
      <c r="C246" s="1"/>
      <c r="D246" s="1"/>
      <c r="E246" s="1"/>
      <c r="F246" s="1"/>
      <c r="G246" s="1"/>
      <c r="H246" s="1"/>
      <c r="I246">
        <v>55.58</v>
      </c>
      <c r="J246">
        <v>100.52</v>
      </c>
      <c r="N246" s="1"/>
      <c r="O246" s="1">
        <v>2.3621052631578947</v>
      </c>
      <c r="P246" t="e">
        <f t="shared" si="23"/>
        <v>#NUM!</v>
      </c>
      <c r="Q246" t="e">
        <f t="shared" si="24"/>
        <v>#NUM!</v>
      </c>
      <c r="R246" t="e">
        <f t="shared" si="25"/>
        <v>#NUM!</v>
      </c>
    </row>
    <row r="247" spans="1:18">
      <c r="A247">
        <f t="shared" si="22"/>
        <v>253.47</v>
      </c>
      <c r="B247">
        <v>9710</v>
      </c>
      <c r="C247" s="1"/>
      <c r="D247" s="1"/>
      <c r="E247" s="1"/>
      <c r="F247" s="1"/>
      <c r="G247" s="1"/>
      <c r="H247" s="1"/>
      <c r="I247">
        <v>53.027999999999999</v>
      </c>
      <c r="J247">
        <v>87.989000000000004</v>
      </c>
      <c r="N247" s="1"/>
      <c r="O247" s="1">
        <v>2.4</v>
      </c>
      <c r="P247" t="e">
        <f t="shared" si="23"/>
        <v>#NUM!</v>
      </c>
      <c r="Q247" t="e">
        <f t="shared" si="24"/>
        <v>#NUM!</v>
      </c>
      <c r="R247" t="e">
        <f t="shared" si="25"/>
        <v>#NUM!</v>
      </c>
    </row>
    <row r="248" spans="1:18">
      <c r="A248">
        <f t="shared" si="22"/>
        <v>253.97</v>
      </c>
      <c r="B248">
        <v>9976</v>
      </c>
      <c r="C248" s="1"/>
      <c r="D248" s="1"/>
      <c r="E248" s="1"/>
      <c r="F248" s="1"/>
      <c r="G248" s="1"/>
      <c r="H248" s="1"/>
      <c r="I248">
        <v>51.53</v>
      </c>
      <c r="J248">
        <v>76.974000000000004</v>
      </c>
      <c r="N248" s="1"/>
      <c r="O248" s="1">
        <v>2.4</v>
      </c>
      <c r="P248" t="e">
        <f t="shared" si="23"/>
        <v>#NUM!</v>
      </c>
      <c r="Q248" t="e">
        <f t="shared" si="24"/>
        <v>#NUM!</v>
      </c>
      <c r="R248" t="e">
        <f t="shared" si="25"/>
        <v>#NUM!</v>
      </c>
    </row>
    <row r="249" spans="1:18">
      <c r="A249">
        <f t="shared" si="22"/>
        <v>254.47</v>
      </c>
      <c r="B249">
        <v>10250</v>
      </c>
      <c r="C249" s="1"/>
      <c r="D249" s="1"/>
      <c r="E249" s="1"/>
      <c r="F249" s="1"/>
      <c r="G249" s="1"/>
      <c r="H249" s="1"/>
      <c r="I249">
        <v>50.976999999999997</v>
      </c>
      <c r="J249">
        <v>63.718000000000004</v>
      </c>
      <c r="N249" s="1"/>
      <c r="O249" s="1">
        <v>2.4</v>
      </c>
      <c r="P249" t="e">
        <f t="shared" si="23"/>
        <v>#NUM!</v>
      </c>
      <c r="Q249" t="e">
        <f t="shared" si="24"/>
        <v>#NUM!</v>
      </c>
      <c r="R249" t="e">
        <f t="shared" si="25"/>
        <v>#NUM!</v>
      </c>
    </row>
    <row r="250" spans="1:18">
      <c r="A250">
        <f t="shared" si="22"/>
        <v>254.97</v>
      </c>
      <c r="B250">
        <v>10530</v>
      </c>
      <c r="C250" s="1"/>
      <c r="D250" s="1"/>
      <c r="E250" s="1"/>
      <c r="F250" s="1"/>
      <c r="G250" s="1"/>
      <c r="H250" s="1"/>
      <c r="I250">
        <v>50.875</v>
      </c>
      <c r="J250">
        <v>51.567</v>
      </c>
      <c r="N250" s="1"/>
      <c r="O250" s="1">
        <v>2.4</v>
      </c>
      <c r="P250" t="e">
        <f t="shared" si="23"/>
        <v>#NUM!</v>
      </c>
      <c r="Q250" t="e">
        <f t="shared" si="24"/>
        <v>#NUM!</v>
      </c>
      <c r="R250" t="e">
        <f t="shared" si="25"/>
        <v>#NUM!</v>
      </c>
    </row>
    <row r="251" spans="1:18">
      <c r="A251">
        <f t="shared" si="22"/>
        <v>255.47</v>
      </c>
      <c r="B251">
        <v>10818</v>
      </c>
      <c r="C251" s="1"/>
      <c r="D251" s="1"/>
      <c r="E251" s="1"/>
      <c r="F251" s="1"/>
      <c r="G251" s="1"/>
      <c r="H251" s="1"/>
      <c r="I251">
        <v>50.832000000000001</v>
      </c>
      <c r="J251">
        <v>40.155999999999999</v>
      </c>
      <c r="N251" s="1"/>
      <c r="O251" s="1">
        <v>2.401176470588235</v>
      </c>
      <c r="P251" t="e">
        <f t="shared" si="23"/>
        <v>#NUM!</v>
      </c>
      <c r="Q251" t="e">
        <f t="shared" si="24"/>
        <v>#NUM!</v>
      </c>
      <c r="R251" t="e">
        <f t="shared" si="25"/>
        <v>#NUM!</v>
      </c>
    </row>
    <row r="252" spans="1:18">
      <c r="A252">
        <f t="shared" si="22"/>
        <v>255.97</v>
      </c>
      <c r="B252">
        <v>11114</v>
      </c>
      <c r="C252" s="1"/>
      <c r="D252" s="1"/>
      <c r="E252" s="1"/>
      <c r="F252" s="1"/>
      <c r="G252" s="1"/>
      <c r="H252" s="1"/>
      <c r="I252">
        <v>50.691000000000003</v>
      </c>
      <c r="J252">
        <v>27.727</v>
      </c>
      <c r="N252" s="1"/>
      <c r="O252" s="1">
        <v>2.4447058823529413</v>
      </c>
      <c r="P252" t="e">
        <f t="shared" si="23"/>
        <v>#NUM!</v>
      </c>
      <c r="Q252" t="e">
        <f t="shared" si="24"/>
        <v>#NUM!</v>
      </c>
      <c r="R252" t="e">
        <f t="shared" si="25"/>
        <v>#NUM!</v>
      </c>
    </row>
    <row r="253" spans="1:18">
      <c r="A253">
        <f t="shared" si="22"/>
        <v>256.47000000000003</v>
      </c>
      <c r="B253">
        <v>11418</v>
      </c>
      <c r="C253" s="1"/>
      <c r="D253" s="1"/>
      <c r="E253" s="1"/>
      <c r="F253" s="1"/>
      <c r="G253" s="1"/>
      <c r="H253" s="1"/>
      <c r="I253">
        <v>50.212000000000003</v>
      </c>
      <c r="J253">
        <v>21.318999999999999</v>
      </c>
      <c r="N253" s="1"/>
      <c r="O253" s="1">
        <v>2.4894117647058822</v>
      </c>
      <c r="P253" t="e">
        <f t="shared" si="23"/>
        <v>#NUM!</v>
      </c>
      <c r="Q253" t="e">
        <f t="shared" si="24"/>
        <v>#NUM!</v>
      </c>
      <c r="R253" t="e">
        <f t="shared" si="25"/>
        <v>#NUM!</v>
      </c>
    </row>
    <row r="254" spans="1:18">
      <c r="A254">
        <f t="shared" si="22"/>
        <v>256.97000000000003</v>
      </c>
      <c r="B254">
        <v>11730</v>
      </c>
      <c r="C254" s="1"/>
      <c r="D254" s="1"/>
      <c r="E254" s="1"/>
      <c r="F254" s="1"/>
      <c r="G254" s="1"/>
      <c r="H254" s="1"/>
      <c r="I254">
        <v>49.296999999999997</v>
      </c>
      <c r="J254">
        <v>22.481000000000002</v>
      </c>
      <c r="N254" s="1"/>
      <c r="O254" s="1">
        <v>2.5</v>
      </c>
      <c r="P254" t="e">
        <f t="shared" si="23"/>
        <v>#NUM!</v>
      </c>
      <c r="Q254" t="e">
        <f t="shared" si="24"/>
        <v>#NUM!</v>
      </c>
      <c r="R254" t="e">
        <f t="shared" si="25"/>
        <v>#NUM!</v>
      </c>
    </row>
    <row r="255" spans="1:18">
      <c r="A255">
        <f t="shared" si="22"/>
        <v>257.47000000000003</v>
      </c>
      <c r="B255">
        <v>12052</v>
      </c>
      <c r="C255" s="1"/>
      <c r="D255" s="1"/>
      <c r="E255" s="1"/>
      <c r="F255" s="1"/>
      <c r="G255" s="1"/>
      <c r="H255" s="1"/>
      <c r="I255">
        <v>48.423999999999999</v>
      </c>
      <c r="J255">
        <v>28.536000000000001</v>
      </c>
      <c r="N255" s="1"/>
      <c r="O255" s="1">
        <v>2.5</v>
      </c>
      <c r="P255" t="e">
        <f t="shared" si="23"/>
        <v>#NUM!</v>
      </c>
      <c r="Q255" t="e">
        <f t="shared" si="24"/>
        <v>#NUM!</v>
      </c>
      <c r="R255" t="e">
        <f t="shared" si="25"/>
        <v>#NUM!</v>
      </c>
    </row>
    <row r="256" spans="1:18">
      <c r="A256">
        <f t="shared" si="22"/>
        <v>257.97000000000003</v>
      </c>
      <c r="B256">
        <v>12382</v>
      </c>
      <c r="C256" s="1"/>
      <c r="D256" s="1"/>
      <c r="E256" s="1"/>
      <c r="F256" s="1"/>
      <c r="G256" s="1"/>
      <c r="H256" s="1"/>
      <c r="I256">
        <v>48.015999999999998</v>
      </c>
      <c r="J256">
        <v>49.418999999999997</v>
      </c>
      <c r="N256" s="1"/>
      <c r="O256" s="1">
        <v>2.6038461538461539</v>
      </c>
      <c r="P256" t="e">
        <f t="shared" si="23"/>
        <v>#NUM!</v>
      </c>
      <c r="Q256" t="e">
        <f t="shared" si="24"/>
        <v>#NUM!</v>
      </c>
      <c r="R256" t="e">
        <f t="shared" si="25"/>
        <v>#NUM!</v>
      </c>
    </row>
    <row r="257" spans="1:18">
      <c r="A257">
        <f t="shared" si="22"/>
        <v>258.47000000000003</v>
      </c>
      <c r="B257">
        <v>12722</v>
      </c>
      <c r="C257" s="1"/>
      <c r="D257" s="1"/>
      <c r="E257" s="1"/>
      <c r="F257" s="1"/>
      <c r="G257" s="1"/>
      <c r="H257" s="1"/>
      <c r="I257">
        <v>47.902000000000001</v>
      </c>
      <c r="J257">
        <v>78.614000000000004</v>
      </c>
      <c r="N257" s="1"/>
      <c r="O257" s="1">
        <v>2.821794871794872</v>
      </c>
      <c r="P257" t="e">
        <f t="shared" si="23"/>
        <v>#NUM!</v>
      </c>
      <c r="Q257" t="e">
        <f t="shared" si="24"/>
        <v>#NUM!</v>
      </c>
      <c r="R257" t="e">
        <f t="shared" si="25"/>
        <v>#NUM!</v>
      </c>
    </row>
    <row r="258" spans="1:18">
      <c r="A258">
        <f t="shared" si="22"/>
        <v>258.97000000000003</v>
      </c>
      <c r="B258">
        <v>13070</v>
      </c>
      <c r="C258" s="1"/>
      <c r="D258" s="1"/>
      <c r="E258" s="1"/>
      <c r="F258" s="1"/>
      <c r="G258" s="1"/>
      <c r="H258" s="1"/>
      <c r="I258">
        <v>47.433</v>
      </c>
      <c r="J258">
        <v>91.17</v>
      </c>
      <c r="N258" s="1"/>
      <c r="O258" s="1">
        <v>3.0168674698795179</v>
      </c>
      <c r="P258" t="e">
        <f t="shared" si="23"/>
        <v>#NUM!</v>
      </c>
      <c r="Q258" t="e">
        <f t="shared" si="24"/>
        <v>#NUM!</v>
      </c>
      <c r="R258" t="e">
        <f t="shared" si="25"/>
        <v>#NUM!</v>
      </c>
    </row>
    <row r="259" spans="1:18">
      <c r="A259">
        <f t="shared" si="22"/>
        <v>259.47000000000003</v>
      </c>
      <c r="B259">
        <v>13428</v>
      </c>
      <c r="C259" s="1"/>
      <c r="D259" s="1"/>
      <c r="E259" s="1"/>
      <c r="F259" s="1"/>
      <c r="G259" s="1"/>
      <c r="H259" s="1"/>
      <c r="I259">
        <v>46.164000000000001</v>
      </c>
      <c r="J259">
        <v>78.156000000000006</v>
      </c>
      <c r="N259" s="1"/>
      <c r="O259" s="1">
        <v>3.1031325301204822</v>
      </c>
      <c r="P259" t="e">
        <f t="shared" si="23"/>
        <v>#NUM!</v>
      </c>
      <c r="Q259" t="e">
        <f t="shared" si="24"/>
        <v>#NUM!</v>
      </c>
      <c r="R259" t="e">
        <f t="shared" si="25"/>
        <v>#NUM!</v>
      </c>
    </row>
    <row r="260" spans="1:18">
      <c r="A260">
        <f t="shared" si="22"/>
        <v>259.97000000000003</v>
      </c>
      <c r="B260">
        <v>13796</v>
      </c>
      <c r="C260" s="1"/>
      <c r="D260" s="1"/>
      <c r="E260" s="1"/>
      <c r="F260" s="1"/>
      <c r="G260" s="1"/>
      <c r="H260" s="1"/>
      <c r="I260">
        <v>44.551000000000002</v>
      </c>
      <c r="J260">
        <v>52.106999999999999</v>
      </c>
      <c r="N260" s="1"/>
      <c r="O260" s="1">
        <v>3.1918072289156627</v>
      </c>
      <c r="P260" t="e">
        <f t="shared" si="23"/>
        <v>#NUM!</v>
      </c>
      <c r="Q260" t="e">
        <f t="shared" si="24"/>
        <v>#NUM!</v>
      </c>
      <c r="R260" t="e">
        <f t="shared" si="25"/>
        <v>#NUM!</v>
      </c>
    </row>
    <row r="261" spans="1:18">
      <c r="A261">
        <f t="shared" si="22"/>
        <v>260.47000000000003</v>
      </c>
      <c r="B261">
        <v>14174</v>
      </c>
      <c r="C261" s="1"/>
      <c r="D261" s="1"/>
      <c r="E261" s="1"/>
      <c r="F261" s="1"/>
      <c r="G261" s="1"/>
      <c r="H261" s="1"/>
      <c r="I261">
        <v>43.448999999999998</v>
      </c>
      <c r="J261">
        <v>33.161000000000001</v>
      </c>
      <c r="N261" s="1"/>
      <c r="O261" s="1">
        <v>3.2790804597701149</v>
      </c>
      <c r="P261" t="e">
        <f t="shared" si="23"/>
        <v>#NUM!</v>
      </c>
      <c r="Q261" t="e">
        <f t="shared" si="24"/>
        <v>#NUM!</v>
      </c>
      <c r="R261" t="e">
        <f t="shared" si="25"/>
        <v>#NUM!</v>
      </c>
    </row>
    <row r="262" spans="1:18">
      <c r="A262">
        <f t="shared" si="22"/>
        <v>260.97000000000003</v>
      </c>
      <c r="B262">
        <v>14560</v>
      </c>
      <c r="C262" s="1"/>
      <c r="D262" s="1"/>
      <c r="E262" s="1"/>
      <c r="F262" s="1"/>
      <c r="G262" s="1"/>
      <c r="H262" s="1"/>
      <c r="I262">
        <v>43.121000000000002</v>
      </c>
      <c r="J262">
        <v>23.349</v>
      </c>
      <c r="N262" s="1"/>
      <c r="O262" s="1">
        <v>3.367816091954023</v>
      </c>
      <c r="P262" t="e">
        <f t="shared" si="23"/>
        <v>#NUM!</v>
      </c>
      <c r="Q262" t="e">
        <f t="shared" si="24"/>
        <v>#NUM!</v>
      </c>
      <c r="R262" t="e">
        <f t="shared" si="25"/>
        <v>#NUM!</v>
      </c>
    </row>
    <row r="263" spans="1:18">
      <c r="A263">
        <f t="shared" si="22"/>
        <v>261.47000000000003</v>
      </c>
      <c r="B263">
        <v>14960</v>
      </c>
      <c r="C263" s="1"/>
      <c r="D263" s="1"/>
      <c r="E263" s="1"/>
      <c r="F263" s="1"/>
      <c r="G263" s="1"/>
      <c r="H263" s="1"/>
      <c r="I263">
        <v>43.107999999999997</v>
      </c>
      <c r="J263">
        <v>11.473000000000001</v>
      </c>
      <c r="N263" s="1"/>
      <c r="O263" s="1">
        <v>3.4553191489361703</v>
      </c>
      <c r="P263" t="e">
        <f t="shared" si="23"/>
        <v>#NUM!</v>
      </c>
      <c r="Q263" t="e">
        <f t="shared" si="24"/>
        <v>#NUM!</v>
      </c>
      <c r="R263" t="e">
        <f t="shared" si="25"/>
        <v>#NUM!</v>
      </c>
    </row>
    <row r="264" spans="1:18">
      <c r="A264">
        <f t="shared" si="22"/>
        <v>261.97000000000003</v>
      </c>
      <c r="B264">
        <v>15368</v>
      </c>
      <c r="C264" s="1"/>
      <c r="D264" s="1"/>
      <c r="E264" s="1"/>
      <c r="F264" s="1"/>
      <c r="G264" s="1"/>
      <c r="H264" s="1"/>
      <c r="I264">
        <v>42.978000000000002</v>
      </c>
      <c r="J264">
        <v>-8.4060000000000006</v>
      </c>
      <c r="N264" s="1"/>
      <c r="O264" s="1">
        <v>3.5421276595744682</v>
      </c>
      <c r="P264" t="e">
        <f t="shared" si="23"/>
        <v>#NUM!</v>
      </c>
      <c r="Q264" t="e">
        <f t="shared" si="24"/>
        <v>#NUM!</v>
      </c>
      <c r="R264" t="e">
        <f t="shared" si="25"/>
        <v>#NUM!</v>
      </c>
    </row>
    <row r="265" spans="1:18">
      <c r="A265">
        <f t="shared" si="22"/>
        <v>262.47000000000003</v>
      </c>
      <c r="B265">
        <v>15790</v>
      </c>
      <c r="C265" s="1"/>
      <c r="D265" s="1"/>
      <c r="E265" s="1"/>
      <c r="F265" s="1"/>
      <c r="G265" s="1"/>
      <c r="H265" s="1"/>
      <c r="I265">
        <v>42.91</v>
      </c>
      <c r="J265">
        <v>-22</v>
      </c>
      <c r="N265" s="1"/>
      <c r="O265" s="1">
        <v>3.6</v>
      </c>
      <c r="P265" t="e">
        <f t="shared" si="23"/>
        <v>#NUM!</v>
      </c>
      <c r="Q265" t="e">
        <f t="shared" si="24"/>
        <v>#NUM!</v>
      </c>
      <c r="R265" t="e">
        <f t="shared" si="25"/>
        <v>#NUM!</v>
      </c>
    </row>
    <row r="266" spans="1:18">
      <c r="A266">
        <f t="shared" si="22"/>
        <v>262.97000000000003</v>
      </c>
      <c r="B266">
        <v>16222</v>
      </c>
      <c r="C266" s="1"/>
      <c r="D266" s="1"/>
      <c r="E266" s="1"/>
      <c r="F266" s="1"/>
      <c r="G266" s="1"/>
      <c r="H266" s="1"/>
      <c r="I266">
        <v>43.314</v>
      </c>
      <c r="J266">
        <v>-28.15</v>
      </c>
      <c r="N266" s="1"/>
      <c r="O266" s="1">
        <v>3.6</v>
      </c>
      <c r="P266" t="e">
        <f t="shared" si="23"/>
        <v>#NUM!</v>
      </c>
      <c r="Q266" t="e">
        <f t="shared" si="24"/>
        <v>#NUM!</v>
      </c>
      <c r="R266" t="e">
        <f t="shared" si="25"/>
        <v>#NUM!</v>
      </c>
    </row>
    <row r="267" spans="1:18">
      <c r="A267">
        <f t="shared" si="22"/>
        <v>263.47000000000003</v>
      </c>
      <c r="B267">
        <v>16666</v>
      </c>
      <c r="C267" s="1"/>
      <c r="D267" s="1"/>
      <c r="E267" s="1"/>
      <c r="F267" s="1"/>
      <c r="G267" s="1"/>
      <c r="H267" s="1"/>
      <c r="I267">
        <v>44.287999999999997</v>
      </c>
      <c r="J267">
        <v>-61.46</v>
      </c>
      <c r="N267" s="1"/>
      <c r="O267" s="1">
        <v>3.5966037735849059</v>
      </c>
      <c r="P267" t="e">
        <f t="shared" si="23"/>
        <v>#NUM!</v>
      </c>
      <c r="Q267" t="e">
        <f t="shared" si="24"/>
        <v>#NUM!</v>
      </c>
      <c r="R267" t="e">
        <f t="shared" si="25"/>
        <v>#NUM!</v>
      </c>
    </row>
    <row r="268" spans="1:18">
      <c r="A268">
        <f t="shared" si="22"/>
        <v>263.97000000000003</v>
      </c>
      <c r="B268">
        <v>17122</v>
      </c>
      <c r="C268" s="1"/>
      <c r="D268" s="1"/>
      <c r="E268" s="1"/>
      <c r="F268" s="1"/>
      <c r="G268" s="1"/>
      <c r="H268" s="1"/>
      <c r="I268">
        <v>45.408999999999999</v>
      </c>
      <c r="J268">
        <v>-109.1</v>
      </c>
      <c r="N268" s="1"/>
      <c r="O268" s="1">
        <v>3.5535849056603772</v>
      </c>
      <c r="P268" t="e">
        <f t="shared" si="23"/>
        <v>#NUM!</v>
      </c>
      <c r="Q268" t="e">
        <f t="shared" si="24"/>
        <v>#NUM!</v>
      </c>
      <c r="R268" t="e">
        <f t="shared" si="25"/>
        <v>#NUM!</v>
      </c>
    </row>
    <row r="269" spans="1:18">
      <c r="A269">
        <f t="shared" si="22"/>
        <v>264.47000000000003</v>
      </c>
      <c r="B269">
        <v>17592</v>
      </c>
      <c r="C269" s="1"/>
      <c r="D269" s="1"/>
      <c r="E269" s="1"/>
      <c r="F269" s="1"/>
      <c r="G269" s="1"/>
      <c r="H269" s="1"/>
      <c r="I269">
        <v>46.118000000000002</v>
      </c>
      <c r="J269">
        <v>-141.6</v>
      </c>
      <c r="N269" s="1"/>
      <c r="O269" s="1">
        <v>3.5092452830188678</v>
      </c>
      <c r="P269" t="e">
        <f t="shared" si="23"/>
        <v>#NUM!</v>
      </c>
      <c r="Q269" t="e">
        <f t="shared" si="24"/>
        <v>#NUM!</v>
      </c>
      <c r="R269" t="e">
        <f t="shared" si="25"/>
        <v>#NUM!</v>
      </c>
    </row>
    <row r="270" spans="1:18">
      <c r="A270">
        <f t="shared" si="22"/>
        <v>264.97000000000003</v>
      </c>
      <c r="B270">
        <v>18074</v>
      </c>
      <c r="C270" s="1"/>
      <c r="D270" s="1"/>
      <c r="E270" s="1"/>
      <c r="F270" s="1"/>
      <c r="G270" s="1"/>
      <c r="H270" s="1"/>
      <c r="I270">
        <v>46.212000000000003</v>
      </c>
      <c r="J270">
        <v>-179.3</v>
      </c>
      <c r="N270" s="1"/>
      <c r="O270" s="1">
        <v>3.5</v>
      </c>
      <c r="P270" t="e">
        <f t="shared" si="23"/>
        <v>#NUM!</v>
      </c>
      <c r="Q270" t="e">
        <f t="shared" si="24"/>
        <v>#NUM!</v>
      </c>
      <c r="R270" t="e">
        <f t="shared" si="25"/>
        <v>#NUM!</v>
      </c>
    </row>
    <row r="271" spans="1:18">
      <c r="A271">
        <f t="shared" si="22"/>
        <v>265.47000000000003</v>
      </c>
      <c r="B271">
        <v>18568</v>
      </c>
      <c r="C271" s="1"/>
      <c r="D271" s="1"/>
      <c r="E271" s="1"/>
      <c r="F271" s="1"/>
      <c r="G271" s="1"/>
      <c r="H271" s="1"/>
      <c r="I271">
        <v>46.058999999999997</v>
      </c>
      <c r="J271">
        <v>115.13</v>
      </c>
      <c r="N271" s="1">
        <v>-0.16866335073725625</v>
      </c>
      <c r="O271" s="1">
        <v>3.5</v>
      </c>
      <c r="P271" t="e">
        <f t="shared" si="23"/>
        <v>#NUM!</v>
      </c>
      <c r="Q271" t="e">
        <f t="shared" si="24"/>
        <v>#NUM!</v>
      </c>
      <c r="R271" t="e">
        <f t="shared" si="25"/>
        <v>#NUM!</v>
      </c>
    </row>
    <row r="272" spans="1:18">
      <c r="A272">
        <f t="shared" si="22"/>
        <v>265.97000000000003</v>
      </c>
      <c r="B272">
        <v>19076</v>
      </c>
      <c r="C272" s="1"/>
      <c r="D272" s="1"/>
      <c r="E272" s="1"/>
      <c r="F272" s="1"/>
      <c r="G272" s="1"/>
      <c r="H272" s="1"/>
      <c r="I272">
        <v>46.116</v>
      </c>
      <c r="J272">
        <v>46.801000000000002</v>
      </c>
      <c r="N272" s="1">
        <v>-0.34066678597560685</v>
      </c>
      <c r="O272" s="1">
        <v>3.5227350427350426</v>
      </c>
      <c r="P272" t="e">
        <f t="shared" si="23"/>
        <v>#NUM!</v>
      </c>
      <c r="Q272" t="e">
        <f t="shared" si="24"/>
        <v>#NUM!</v>
      </c>
      <c r="R272" t="e">
        <f t="shared" si="25"/>
        <v>#NUM!</v>
      </c>
    </row>
    <row r="273" spans="1:18">
      <c r="A273">
        <f t="shared" si="22"/>
        <v>266.47000000000003</v>
      </c>
      <c r="B273">
        <v>19598</v>
      </c>
      <c r="C273" s="1"/>
      <c r="D273" s="1"/>
      <c r="E273" s="1"/>
      <c r="F273" s="1"/>
      <c r="G273" s="1"/>
      <c r="H273" s="1"/>
      <c r="I273">
        <v>46.390999999999998</v>
      </c>
      <c r="J273">
        <v>-44.04</v>
      </c>
      <c r="N273" s="1">
        <v>-0.69524212518423834</v>
      </c>
      <c r="O273" s="1">
        <v>3.5673504273504273</v>
      </c>
      <c r="P273" t="e">
        <f t="shared" si="23"/>
        <v>#NUM!</v>
      </c>
      <c r="Q273" t="e">
        <f t="shared" si="24"/>
        <v>#NUM!</v>
      </c>
      <c r="R273" t="e">
        <f t="shared" si="25"/>
        <v>#NUM!</v>
      </c>
    </row>
    <row r="274" spans="1:18">
      <c r="A274">
        <f t="shared" si="22"/>
        <v>266.97000000000003</v>
      </c>
      <c r="B274">
        <v>20000</v>
      </c>
      <c r="C274" s="1"/>
      <c r="D274" s="1"/>
      <c r="E274" s="1"/>
      <c r="F274" s="1"/>
      <c r="G274" s="1"/>
      <c r="H274" s="1"/>
      <c r="I274">
        <v>46.783000000000001</v>
      </c>
      <c r="J274">
        <v>-141.6</v>
      </c>
      <c r="N274" s="1">
        <v>-1.0649102390645022</v>
      </c>
      <c r="O274" s="1">
        <v>3.6</v>
      </c>
      <c r="P274" t="e">
        <f t="shared" si="23"/>
        <v>#NUM!</v>
      </c>
      <c r="Q274" t="e">
        <f t="shared" si="24"/>
        <v>#NUM!</v>
      </c>
      <c r="R274" t="e">
        <f t="shared" si="25"/>
        <v>#NUM!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274"/>
  <sheetViews>
    <sheetView topLeftCell="A2" zoomScaleNormal="100" workbookViewId="0">
      <selection activeCell="A16" sqref="A16"/>
    </sheetView>
  </sheetViews>
  <sheetFormatPr baseColWidth="10" defaultRowHeight="15"/>
  <sheetData>
    <row r="1" spans="3:28">
      <c r="N1" t="s">
        <v>9</v>
      </c>
      <c r="O1" t="s">
        <v>24</v>
      </c>
      <c r="P1">
        <v>0.125</v>
      </c>
      <c r="Q1">
        <v>0.125</v>
      </c>
      <c r="R1">
        <v>0.125</v>
      </c>
      <c r="T1" t="s">
        <v>33</v>
      </c>
      <c r="U1" t="s">
        <v>35</v>
      </c>
      <c r="V1">
        <v>1.1000000000000001</v>
      </c>
      <c r="W1">
        <v>1.1000000000000001</v>
      </c>
      <c r="X1">
        <v>1.1000000000000001</v>
      </c>
    </row>
    <row r="2" spans="3:28">
      <c r="N2" t="s">
        <v>11</v>
      </c>
      <c r="O2" t="s">
        <v>10</v>
      </c>
      <c r="P2">
        <f t="shared" ref="P2:Q2" si="0">+P1*23</f>
        <v>2.875</v>
      </c>
      <c r="Q2">
        <f t="shared" si="0"/>
        <v>2.875</v>
      </c>
      <c r="R2">
        <f>+R1*23</f>
        <v>2.875</v>
      </c>
      <c r="T2" t="s">
        <v>32</v>
      </c>
      <c r="U2" t="s">
        <v>35</v>
      </c>
      <c r="V2">
        <v>1.35</v>
      </c>
      <c r="W2">
        <v>1.35</v>
      </c>
      <c r="X2">
        <v>1.35</v>
      </c>
    </row>
    <row r="3" spans="3:28">
      <c r="N3" t="s">
        <v>12</v>
      </c>
      <c r="O3" t="s">
        <v>10</v>
      </c>
      <c r="P3" s="2">
        <f t="shared" ref="P3:Q3" si="1">2^0.5*2</f>
        <v>2.8284271247461903</v>
      </c>
      <c r="Q3" s="2">
        <f t="shared" si="1"/>
        <v>2.8284271247461903</v>
      </c>
      <c r="R3" s="2">
        <f>2^0.5*2</f>
        <v>2.8284271247461903</v>
      </c>
      <c r="T3" t="s">
        <v>34</v>
      </c>
      <c r="U3" t="s">
        <v>35</v>
      </c>
      <c r="V3">
        <v>1</v>
      </c>
      <c r="W3">
        <v>1</v>
      </c>
      <c r="X3">
        <v>1</v>
      </c>
    </row>
    <row r="4" spans="3:28">
      <c r="N4" t="s">
        <v>13</v>
      </c>
      <c r="O4" t="s">
        <v>14</v>
      </c>
      <c r="P4" s="3">
        <f t="shared" ref="P4:Q4" si="2">20*LOG(P3/P2)</f>
        <v>-0.14185711059354938</v>
      </c>
      <c r="Q4" s="3">
        <f t="shared" si="2"/>
        <v>-0.14185711059354938</v>
      </c>
      <c r="R4" s="3">
        <f>20*LOG(R3/R2)</f>
        <v>-0.14185711059354938</v>
      </c>
      <c r="T4" t="s">
        <v>36</v>
      </c>
      <c r="U4" t="s">
        <v>35</v>
      </c>
      <c r="V4" s="4">
        <f>((V1-V2)^2+V3^2)^0.5</f>
        <v>1.0307764064044151</v>
      </c>
      <c r="W4" s="4">
        <f>((W1-W2)^2+W3^2)^0.5</f>
        <v>1.0307764064044151</v>
      </c>
      <c r="X4" s="4">
        <f>((X1-X2)^2+X3^2)^0.5</f>
        <v>1.0307764064044151</v>
      </c>
    </row>
    <row r="5" spans="3:28">
      <c r="T5" t="s">
        <v>38</v>
      </c>
      <c r="U5" t="s">
        <v>37</v>
      </c>
      <c r="V5">
        <v>343</v>
      </c>
      <c r="W5">
        <v>343</v>
      </c>
      <c r="X5">
        <v>343</v>
      </c>
    </row>
    <row r="6" spans="3:28">
      <c r="N6" t="s">
        <v>15</v>
      </c>
      <c r="O6" t="s">
        <v>14</v>
      </c>
      <c r="P6" s="1">
        <f t="shared" ref="P6:Q6" si="3">20*LOG(202)</f>
        <v>46.10702738893248</v>
      </c>
      <c r="Q6" s="1">
        <f t="shared" si="3"/>
        <v>46.10702738893248</v>
      </c>
      <c r="R6" s="1">
        <f>20*LOG(202)</f>
        <v>46.10702738893248</v>
      </c>
      <c r="T6" t="s">
        <v>39</v>
      </c>
      <c r="V6">
        <v>1</v>
      </c>
      <c r="W6">
        <v>1</v>
      </c>
      <c r="X6">
        <v>1</v>
      </c>
    </row>
    <row r="7" spans="3:28">
      <c r="N7" t="s">
        <v>16</v>
      </c>
      <c r="O7" t="s">
        <v>14</v>
      </c>
      <c r="P7">
        <f>-16</f>
        <v>-16</v>
      </c>
      <c r="Q7">
        <v>-14</v>
      </c>
      <c r="R7">
        <f>-14-2</f>
        <v>-16</v>
      </c>
    </row>
    <row r="8" spans="3:28">
      <c r="N8" t="s">
        <v>17</v>
      </c>
      <c r="O8" t="s">
        <v>14</v>
      </c>
      <c r="P8" s="1">
        <f t="shared" ref="P8:Q8" si="4">+P6+P7</f>
        <v>30.10702738893248</v>
      </c>
      <c r="Q8" s="1">
        <f t="shared" si="4"/>
        <v>32.10702738893248</v>
      </c>
      <c r="R8" s="1">
        <f>+R6+R7</f>
        <v>30.10702738893248</v>
      </c>
    </row>
    <row r="9" spans="3:28">
      <c r="N9" t="s">
        <v>18</v>
      </c>
      <c r="O9" t="s">
        <v>19</v>
      </c>
      <c r="P9" s="1">
        <f t="shared" ref="P9:Q9" si="5">10^(P8/20)</f>
        <v>32.014842487714517</v>
      </c>
      <c r="Q9" s="1">
        <f t="shared" si="5"/>
        <v>40.304298762371403</v>
      </c>
      <c r="R9" s="1">
        <f>10^(R8/20)</f>
        <v>32.014842487714517</v>
      </c>
    </row>
    <row r="10" spans="3:28">
      <c r="N10" t="s">
        <v>21</v>
      </c>
      <c r="O10" t="s">
        <v>22</v>
      </c>
      <c r="P10">
        <v>1.4200000000000001E-2</v>
      </c>
      <c r="Q10">
        <v>1.4200000000000001E-2</v>
      </c>
      <c r="R10">
        <v>1.4200000000000001E-2</v>
      </c>
    </row>
    <row r="11" spans="3:28">
      <c r="O11" t="s">
        <v>20</v>
      </c>
      <c r="P11">
        <v>9</v>
      </c>
      <c r="Q11">
        <v>9</v>
      </c>
      <c r="R11">
        <v>9</v>
      </c>
    </row>
    <row r="12" spans="3:28">
      <c r="O12" t="s">
        <v>23</v>
      </c>
      <c r="P12" s="2">
        <f t="shared" ref="P12:Q12" si="6">1/(P11/P1*P9*P10)</f>
        <v>3.055116598491768E-2</v>
      </c>
      <c r="Q12" s="2">
        <f t="shared" si="6"/>
        <v>2.4267653745568173E-2</v>
      </c>
      <c r="R12" s="2">
        <f>1/(R11/R1*R9*R10)</f>
        <v>3.055116598491768E-2</v>
      </c>
    </row>
    <row r="13" spans="3:28">
      <c r="N13" t="s">
        <v>28</v>
      </c>
      <c r="P13" t="s">
        <v>31</v>
      </c>
    </row>
    <row r="14" spans="3:28">
      <c r="N14" t="s">
        <v>29</v>
      </c>
      <c r="O14" t="s">
        <v>30</v>
      </c>
      <c r="P14">
        <v>1483.5830000000001</v>
      </c>
      <c r="Q14">
        <v>2295.67</v>
      </c>
    </row>
    <row r="16" spans="3:28">
      <c r="C16" t="s">
        <v>97</v>
      </c>
      <c r="D16" t="s">
        <v>0</v>
      </c>
      <c r="E16" t="s">
        <v>97</v>
      </c>
      <c r="F16" t="s">
        <v>0</v>
      </c>
      <c r="G16" t="s">
        <v>97</v>
      </c>
      <c r="H16" t="s">
        <v>0</v>
      </c>
      <c r="I16" t="s">
        <v>3</v>
      </c>
      <c r="J16" t="s">
        <v>0</v>
      </c>
      <c r="N16" t="s">
        <v>1</v>
      </c>
      <c r="O16" t="s">
        <v>2</v>
      </c>
      <c r="P16" t="s">
        <v>3</v>
      </c>
      <c r="Q16" t="s">
        <v>3</v>
      </c>
      <c r="R16" t="s">
        <v>3</v>
      </c>
      <c r="V16" t="s">
        <v>0</v>
      </c>
      <c r="W16" t="s">
        <v>0</v>
      </c>
      <c r="X16" t="s">
        <v>0</v>
      </c>
      <c r="Z16" s="5"/>
      <c r="AB16" s="5"/>
    </row>
    <row r="17" spans="1:24">
      <c r="B17" t="s">
        <v>4</v>
      </c>
      <c r="C17" s="6" t="s">
        <v>52</v>
      </c>
      <c r="D17" t="str">
        <f>+C17</f>
        <v>WS20E-4 (1)</v>
      </c>
      <c r="E17" s="6" t="s">
        <v>53</v>
      </c>
      <c r="F17" t="str">
        <f>+E17</f>
        <v>WS20E-4 (2)</v>
      </c>
      <c r="G17" s="6"/>
      <c r="H17">
        <f>+G17</f>
        <v>0</v>
      </c>
      <c r="I17" s="6" t="s">
        <v>54</v>
      </c>
      <c r="J17" t="str">
        <f>+I17</f>
        <v>WS20E-4 soll</v>
      </c>
      <c r="P17" t="str">
        <f>+C17</f>
        <v>WS20E-4 (1)</v>
      </c>
      <c r="Q17" t="str">
        <f>+E17</f>
        <v>WS20E-4 (2)</v>
      </c>
      <c r="R17">
        <f>+G17</f>
        <v>0</v>
      </c>
      <c r="V17" t="str">
        <f>+C17</f>
        <v>WS20E-4 (1)</v>
      </c>
      <c r="W17" t="str">
        <f>+E17</f>
        <v>WS20E-4 (2)</v>
      </c>
      <c r="X17">
        <f>+G17</f>
        <v>0</v>
      </c>
    </row>
    <row r="18" spans="1:24">
      <c r="A18">
        <v>2295.67</v>
      </c>
      <c r="B18">
        <v>20</v>
      </c>
      <c r="I18">
        <v>55.664999999999999</v>
      </c>
      <c r="J18">
        <v>-113.7</v>
      </c>
      <c r="N18" s="1"/>
      <c r="O18" s="1">
        <v>0</v>
      </c>
      <c r="R18" t="e">
        <f t="shared" ref="R18:R81" si="7">20*LOG(R$12*$G18/0.00002)-$N18-$O18</f>
        <v>#NUM!</v>
      </c>
    </row>
    <row r="19" spans="1:24">
      <c r="A19">
        <f>+A18+0.5</f>
        <v>2296.17</v>
      </c>
      <c r="B19">
        <v>20.5</v>
      </c>
      <c r="I19">
        <v>56.414999999999999</v>
      </c>
      <c r="J19">
        <v>-114.4</v>
      </c>
      <c r="N19" s="1"/>
      <c r="O19" s="1">
        <v>0</v>
      </c>
      <c r="R19" t="e">
        <f t="shared" si="7"/>
        <v>#NUM!</v>
      </c>
    </row>
    <row r="20" spans="1:24">
      <c r="A20">
        <f t="shared" ref="A20:A83" si="8">+A19+0.5</f>
        <v>2296.67</v>
      </c>
      <c r="B20">
        <v>21.1</v>
      </c>
      <c r="I20">
        <v>57.167999999999999</v>
      </c>
      <c r="J20">
        <v>-115.1</v>
      </c>
      <c r="N20" s="1"/>
      <c r="O20" s="1">
        <v>0</v>
      </c>
      <c r="R20" t="e">
        <f t="shared" si="7"/>
        <v>#NUM!</v>
      </c>
    </row>
    <row r="21" spans="1:24">
      <c r="A21">
        <f t="shared" si="8"/>
        <v>2297.17</v>
      </c>
      <c r="B21">
        <v>21.6</v>
      </c>
      <c r="I21">
        <v>57.923999999999999</v>
      </c>
      <c r="J21">
        <v>-115.9</v>
      </c>
      <c r="N21" s="1"/>
      <c r="O21" s="1">
        <v>0</v>
      </c>
      <c r="R21" t="e">
        <f t="shared" si="7"/>
        <v>#NUM!</v>
      </c>
    </row>
    <row r="22" spans="1:24">
      <c r="A22">
        <f t="shared" si="8"/>
        <v>2297.67</v>
      </c>
      <c r="B22">
        <v>22.2</v>
      </c>
      <c r="I22">
        <v>58.683999999999997</v>
      </c>
      <c r="J22">
        <v>-116.7</v>
      </c>
      <c r="N22" s="1"/>
      <c r="O22" s="1">
        <v>0</v>
      </c>
      <c r="R22" t="e">
        <f t="shared" si="7"/>
        <v>#NUM!</v>
      </c>
    </row>
    <row r="23" spans="1:24">
      <c r="A23">
        <f t="shared" si="8"/>
        <v>2298.17</v>
      </c>
      <c r="B23">
        <v>22.9</v>
      </c>
      <c r="I23">
        <v>59.447000000000003</v>
      </c>
      <c r="J23">
        <v>-117.6</v>
      </c>
      <c r="N23" s="1"/>
      <c r="O23" s="1">
        <v>0</v>
      </c>
      <c r="R23" t="e">
        <f t="shared" si="7"/>
        <v>#NUM!</v>
      </c>
    </row>
    <row r="24" spans="1:24">
      <c r="A24">
        <f t="shared" si="8"/>
        <v>2298.67</v>
      </c>
      <c r="B24">
        <v>23.5</v>
      </c>
      <c r="I24">
        <v>60.213000000000001</v>
      </c>
      <c r="J24">
        <v>-118.4</v>
      </c>
      <c r="N24" s="1"/>
      <c r="O24" s="1">
        <v>0</v>
      </c>
      <c r="R24" t="e">
        <f t="shared" si="7"/>
        <v>#NUM!</v>
      </c>
    </row>
    <row r="25" spans="1:24">
      <c r="A25">
        <f t="shared" si="8"/>
        <v>2299.17</v>
      </c>
      <c r="B25">
        <v>24.1</v>
      </c>
      <c r="I25">
        <v>60.984000000000002</v>
      </c>
      <c r="J25">
        <v>-119.4</v>
      </c>
      <c r="N25" s="1"/>
      <c r="O25" s="1">
        <v>0</v>
      </c>
      <c r="R25" t="e">
        <f t="shared" si="7"/>
        <v>#NUM!</v>
      </c>
    </row>
    <row r="26" spans="1:24">
      <c r="A26">
        <f t="shared" si="8"/>
        <v>2299.67</v>
      </c>
      <c r="B26">
        <v>24.8</v>
      </c>
      <c r="I26">
        <v>61.759</v>
      </c>
      <c r="J26">
        <v>-120.3</v>
      </c>
      <c r="N26" s="1"/>
      <c r="O26" s="1">
        <v>0</v>
      </c>
      <c r="R26" t="e">
        <f t="shared" si="7"/>
        <v>#NUM!</v>
      </c>
    </row>
    <row r="27" spans="1:24">
      <c r="A27">
        <f t="shared" si="8"/>
        <v>2300.17</v>
      </c>
      <c r="B27">
        <v>25.5</v>
      </c>
      <c r="I27">
        <v>62.539000000000001</v>
      </c>
      <c r="J27">
        <v>-121.3</v>
      </c>
      <c r="N27" s="1"/>
      <c r="O27" s="1">
        <v>0</v>
      </c>
      <c r="R27" t="e">
        <f t="shared" si="7"/>
        <v>#NUM!</v>
      </c>
    </row>
    <row r="28" spans="1:24">
      <c r="A28">
        <f t="shared" si="8"/>
        <v>2300.67</v>
      </c>
      <c r="B28">
        <v>26.2</v>
      </c>
      <c r="I28">
        <v>63.323</v>
      </c>
      <c r="J28">
        <v>-122.3</v>
      </c>
      <c r="N28" s="1"/>
      <c r="O28" s="1">
        <v>0</v>
      </c>
      <c r="R28" t="e">
        <f t="shared" si="7"/>
        <v>#NUM!</v>
      </c>
    </row>
    <row r="29" spans="1:24">
      <c r="A29">
        <f t="shared" si="8"/>
        <v>2301.17</v>
      </c>
      <c r="B29">
        <v>26.9</v>
      </c>
      <c r="I29">
        <v>64.113</v>
      </c>
      <c r="J29">
        <v>-123.4</v>
      </c>
      <c r="N29" s="1"/>
      <c r="O29" s="1">
        <v>0</v>
      </c>
      <c r="R29" t="e">
        <f t="shared" si="7"/>
        <v>#NUM!</v>
      </c>
    </row>
    <row r="30" spans="1:24">
      <c r="A30">
        <f t="shared" si="8"/>
        <v>2301.67</v>
      </c>
      <c r="B30">
        <v>27.6</v>
      </c>
      <c r="I30">
        <v>64.908000000000001</v>
      </c>
      <c r="J30">
        <v>-124.6</v>
      </c>
      <c r="N30" s="1"/>
      <c r="O30" s="1">
        <v>0</v>
      </c>
      <c r="R30" t="e">
        <f t="shared" si="7"/>
        <v>#NUM!</v>
      </c>
    </row>
    <row r="31" spans="1:24">
      <c r="A31">
        <f t="shared" si="8"/>
        <v>2302.17</v>
      </c>
      <c r="B31">
        <v>28.4</v>
      </c>
      <c r="I31">
        <v>65.707999999999998</v>
      </c>
      <c r="J31">
        <v>-125.8</v>
      </c>
      <c r="N31" s="1"/>
      <c r="O31" s="1">
        <v>0</v>
      </c>
      <c r="R31" t="e">
        <f t="shared" si="7"/>
        <v>#NUM!</v>
      </c>
    </row>
    <row r="32" spans="1:24">
      <c r="A32">
        <f t="shared" si="8"/>
        <v>2302.67</v>
      </c>
      <c r="B32">
        <v>29.2</v>
      </c>
      <c r="I32">
        <v>66.515000000000001</v>
      </c>
      <c r="J32">
        <v>-127</v>
      </c>
      <c r="N32" s="1"/>
      <c r="O32" s="1">
        <v>0</v>
      </c>
      <c r="R32" t="e">
        <f t="shared" si="7"/>
        <v>#NUM!</v>
      </c>
    </row>
    <row r="33" spans="1:18">
      <c r="A33">
        <f t="shared" si="8"/>
        <v>2303.17</v>
      </c>
      <c r="B33">
        <v>30</v>
      </c>
      <c r="I33">
        <v>67.328999999999994</v>
      </c>
      <c r="J33">
        <v>-128.4</v>
      </c>
      <c r="N33" s="1"/>
      <c r="O33" s="1">
        <v>0</v>
      </c>
      <c r="R33" t="e">
        <f t="shared" si="7"/>
        <v>#NUM!</v>
      </c>
    </row>
    <row r="34" spans="1:18">
      <c r="A34">
        <f t="shared" si="8"/>
        <v>2303.67</v>
      </c>
      <c r="B34">
        <v>30.8</v>
      </c>
      <c r="I34">
        <v>68.150000000000006</v>
      </c>
      <c r="J34">
        <v>-129.80000000000001</v>
      </c>
      <c r="N34" s="1"/>
      <c r="O34" s="1">
        <v>0</v>
      </c>
      <c r="R34" t="e">
        <f t="shared" si="7"/>
        <v>#NUM!</v>
      </c>
    </row>
    <row r="35" spans="1:18">
      <c r="A35">
        <f t="shared" si="8"/>
        <v>2304.17</v>
      </c>
      <c r="B35">
        <v>31.6</v>
      </c>
      <c r="I35">
        <v>68.977999999999994</v>
      </c>
      <c r="J35">
        <v>-131.19999999999999</v>
      </c>
      <c r="N35" s="1"/>
      <c r="O35" s="1">
        <v>0</v>
      </c>
      <c r="R35" t="e">
        <f t="shared" si="7"/>
        <v>#NUM!</v>
      </c>
    </row>
    <row r="36" spans="1:18">
      <c r="A36">
        <f t="shared" si="8"/>
        <v>2304.67</v>
      </c>
      <c r="B36">
        <v>32.5</v>
      </c>
      <c r="I36">
        <v>69.813000000000002</v>
      </c>
      <c r="J36">
        <v>-132.80000000000001</v>
      </c>
      <c r="N36" s="1"/>
      <c r="O36" s="1">
        <v>0</v>
      </c>
      <c r="R36" t="e">
        <f t="shared" si="7"/>
        <v>#NUM!</v>
      </c>
    </row>
    <row r="37" spans="1:18">
      <c r="A37">
        <f t="shared" si="8"/>
        <v>2305.17</v>
      </c>
      <c r="B37">
        <v>33.4</v>
      </c>
      <c r="I37">
        <v>70.656999999999996</v>
      </c>
      <c r="J37">
        <v>-134.5</v>
      </c>
      <c r="N37" s="1"/>
      <c r="O37" s="1">
        <v>0</v>
      </c>
      <c r="R37" t="e">
        <f t="shared" si="7"/>
        <v>#NUM!</v>
      </c>
    </row>
    <row r="38" spans="1:18">
      <c r="A38">
        <f t="shared" si="8"/>
        <v>2305.67</v>
      </c>
      <c r="B38">
        <v>34.299999999999997</v>
      </c>
      <c r="I38">
        <v>71.509</v>
      </c>
      <c r="J38">
        <v>-136.30000000000001</v>
      </c>
      <c r="N38" s="1"/>
      <c r="O38" s="1">
        <v>0</v>
      </c>
      <c r="R38" t="e">
        <f t="shared" si="7"/>
        <v>#NUM!</v>
      </c>
    </row>
    <row r="39" spans="1:18">
      <c r="A39">
        <f t="shared" si="8"/>
        <v>2306.17</v>
      </c>
      <c r="B39">
        <v>35.200000000000003</v>
      </c>
      <c r="I39">
        <v>72.37</v>
      </c>
      <c r="J39">
        <v>-138.19999999999999</v>
      </c>
      <c r="N39" s="1"/>
      <c r="O39" s="1">
        <v>0</v>
      </c>
      <c r="R39" t="e">
        <f t="shared" si="7"/>
        <v>#NUM!</v>
      </c>
    </row>
    <row r="40" spans="1:18">
      <c r="A40">
        <f t="shared" si="8"/>
        <v>2306.67</v>
      </c>
      <c r="B40">
        <v>36.200000000000003</v>
      </c>
      <c r="I40">
        <v>73.239999999999995</v>
      </c>
      <c r="J40">
        <v>-140.19999999999999</v>
      </c>
      <c r="N40" s="1"/>
      <c r="O40" s="1">
        <v>0</v>
      </c>
      <c r="R40" t="e">
        <f t="shared" si="7"/>
        <v>#NUM!</v>
      </c>
    </row>
    <row r="41" spans="1:18">
      <c r="A41">
        <f t="shared" si="8"/>
        <v>2307.17</v>
      </c>
      <c r="B41">
        <v>37.200000000000003</v>
      </c>
      <c r="I41">
        <v>74.117999999999995</v>
      </c>
      <c r="J41">
        <v>-142.4</v>
      </c>
      <c r="N41" s="1"/>
      <c r="O41" s="1">
        <v>0</v>
      </c>
      <c r="R41" t="e">
        <f t="shared" si="7"/>
        <v>#NUM!</v>
      </c>
    </row>
    <row r="42" spans="1:18">
      <c r="A42">
        <f t="shared" si="8"/>
        <v>2307.67</v>
      </c>
      <c r="B42">
        <v>38.200000000000003</v>
      </c>
      <c r="I42">
        <v>75.004999999999995</v>
      </c>
      <c r="J42">
        <v>-144.80000000000001</v>
      </c>
      <c r="N42" s="1"/>
      <c r="O42" s="1">
        <v>0</v>
      </c>
      <c r="R42" t="e">
        <f t="shared" si="7"/>
        <v>#NUM!</v>
      </c>
    </row>
    <row r="43" spans="1:18">
      <c r="A43">
        <f t="shared" si="8"/>
        <v>2308.17</v>
      </c>
      <c r="B43">
        <v>39.299999999999997</v>
      </c>
      <c r="I43">
        <v>75.900000000000006</v>
      </c>
      <c r="J43">
        <v>-147.4</v>
      </c>
      <c r="N43" s="1"/>
      <c r="O43" s="1">
        <v>0</v>
      </c>
      <c r="R43" t="e">
        <f t="shared" si="7"/>
        <v>#NUM!</v>
      </c>
    </row>
    <row r="44" spans="1:18">
      <c r="A44">
        <f t="shared" si="8"/>
        <v>2308.67</v>
      </c>
      <c r="B44">
        <v>40.299999999999997</v>
      </c>
      <c r="I44">
        <v>76.802000000000007</v>
      </c>
      <c r="J44">
        <v>-150.19999999999999</v>
      </c>
      <c r="N44" s="1"/>
      <c r="O44" s="1">
        <v>0</v>
      </c>
      <c r="R44" t="e">
        <f t="shared" si="7"/>
        <v>#NUM!</v>
      </c>
    </row>
    <row r="45" spans="1:18">
      <c r="A45">
        <f t="shared" si="8"/>
        <v>2309.17</v>
      </c>
      <c r="B45">
        <v>41.4</v>
      </c>
      <c r="I45">
        <v>77.709000000000003</v>
      </c>
      <c r="J45">
        <v>-153.19999999999999</v>
      </c>
      <c r="N45" s="1"/>
      <c r="O45" s="1">
        <v>0</v>
      </c>
      <c r="R45" t="e">
        <f t="shared" si="7"/>
        <v>#NUM!</v>
      </c>
    </row>
    <row r="46" spans="1:18">
      <c r="A46">
        <f t="shared" si="8"/>
        <v>2309.67</v>
      </c>
      <c r="B46">
        <v>42.6</v>
      </c>
      <c r="I46">
        <v>78.617999999999995</v>
      </c>
      <c r="J46">
        <v>-156.5</v>
      </c>
      <c r="N46" s="1"/>
      <c r="O46" s="1">
        <v>0</v>
      </c>
      <c r="R46" t="e">
        <f t="shared" si="7"/>
        <v>#NUM!</v>
      </c>
    </row>
    <row r="47" spans="1:18">
      <c r="A47">
        <f t="shared" si="8"/>
        <v>2310.17</v>
      </c>
      <c r="B47">
        <v>43.7</v>
      </c>
      <c r="I47">
        <v>79.527000000000001</v>
      </c>
      <c r="J47">
        <v>-160.19999999999999</v>
      </c>
      <c r="N47" s="1"/>
      <c r="O47" s="1">
        <v>0</v>
      </c>
      <c r="R47" t="e">
        <f t="shared" si="7"/>
        <v>#NUM!</v>
      </c>
    </row>
    <row r="48" spans="1:18">
      <c r="A48">
        <f t="shared" si="8"/>
        <v>2310.67</v>
      </c>
      <c r="B48">
        <v>44.9</v>
      </c>
      <c r="I48">
        <v>80.429000000000002</v>
      </c>
      <c r="J48">
        <v>-164.1</v>
      </c>
      <c r="N48" s="1"/>
      <c r="O48" s="1">
        <v>0</v>
      </c>
      <c r="R48" t="e">
        <f t="shared" si="7"/>
        <v>#NUM!</v>
      </c>
    </row>
    <row r="49" spans="1:18">
      <c r="A49">
        <f t="shared" si="8"/>
        <v>2311.17</v>
      </c>
      <c r="B49">
        <v>46.2</v>
      </c>
      <c r="I49">
        <v>81.319000000000003</v>
      </c>
      <c r="J49">
        <v>-168.5</v>
      </c>
      <c r="N49" s="1"/>
      <c r="O49" s="1">
        <v>0</v>
      </c>
      <c r="R49" t="e">
        <f t="shared" si="7"/>
        <v>#NUM!</v>
      </c>
    </row>
    <row r="50" spans="1:18">
      <c r="A50">
        <f t="shared" si="8"/>
        <v>2311.67</v>
      </c>
      <c r="B50">
        <v>47.4</v>
      </c>
      <c r="I50">
        <v>82.186000000000007</v>
      </c>
      <c r="J50">
        <v>-173.3</v>
      </c>
      <c r="N50" s="1"/>
      <c r="O50" s="1">
        <v>0</v>
      </c>
      <c r="R50" t="e">
        <f t="shared" si="7"/>
        <v>#NUM!</v>
      </c>
    </row>
    <row r="51" spans="1:18">
      <c r="A51">
        <f t="shared" si="8"/>
        <v>2312.17</v>
      </c>
      <c r="B51">
        <v>48.7</v>
      </c>
      <c r="I51">
        <v>83.02</v>
      </c>
      <c r="J51">
        <v>-178.4</v>
      </c>
      <c r="N51" s="1"/>
      <c r="O51" s="1">
        <v>0</v>
      </c>
      <c r="R51" t="e">
        <f t="shared" si="7"/>
        <v>#NUM!</v>
      </c>
    </row>
    <row r="52" spans="1:18">
      <c r="A52">
        <f t="shared" si="8"/>
        <v>2312.67</v>
      </c>
      <c r="B52">
        <v>50.1</v>
      </c>
      <c r="I52">
        <v>83.808000000000007</v>
      </c>
      <c r="J52">
        <v>175.96</v>
      </c>
      <c r="N52" s="1"/>
      <c r="O52" s="1">
        <v>0</v>
      </c>
      <c r="R52" t="e">
        <f t="shared" si="7"/>
        <v>#NUM!</v>
      </c>
    </row>
    <row r="53" spans="1:18">
      <c r="A53">
        <f t="shared" si="8"/>
        <v>2313.17</v>
      </c>
      <c r="B53">
        <v>51.4</v>
      </c>
      <c r="I53">
        <v>84.534000000000006</v>
      </c>
      <c r="J53">
        <v>169.95</v>
      </c>
      <c r="N53" s="1"/>
      <c r="O53" s="1">
        <v>0</v>
      </c>
      <c r="R53" t="e">
        <f t="shared" si="7"/>
        <v>#NUM!</v>
      </c>
    </row>
    <row r="54" spans="1:18">
      <c r="A54">
        <f t="shared" si="8"/>
        <v>2313.67</v>
      </c>
      <c r="B54">
        <v>52.8</v>
      </c>
      <c r="I54">
        <v>85.183999999999997</v>
      </c>
      <c r="J54">
        <v>163.6</v>
      </c>
      <c r="N54" s="1"/>
      <c r="O54" s="1">
        <v>0</v>
      </c>
      <c r="R54" t="e">
        <f t="shared" si="7"/>
        <v>#NUM!</v>
      </c>
    </row>
    <row r="55" spans="1:18">
      <c r="A55">
        <f t="shared" si="8"/>
        <v>2314.17</v>
      </c>
      <c r="B55">
        <v>54.3</v>
      </c>
      <c r="I55">
        <v>85.745000000000005</v>
      </c>
      <c r="J55">
        <v>156.99</v>
      </c>
      <c r="N55" s="1"/>
      <c r="O55" s="1">
        <v>0</v>
      </c>
      <c r="R55" t="e">
        <f t="shared" si="7"/>
        <v>#NUM!</v>
      </c>
    </row>
    <row r="56" spans="1:18">
      <c r="A56">
        <f t="shared" si="8"/>
        <v>2314.67</v>
      </c>
      <c r="B56">
        <v>55.8</v>
      </c>
      <c r="I56">
        <v>86.207999999999998</v>
      </c>
      <c r="J56">
        <v>150.24</v>
      </c>
      <c r="N56" s="1"/>
      <c r="O56" s="1">
        <v>0</v>
      </c>
      <c r="R56" t="e">
        <f t="shared" si="7"/>
        <v>#NUM!</v>
      </c>
    </row>
    <row r="57" spans="1:18">
      <c r="A57">
        <f t="shared" si="8"/>
        <v>2315.17</v>
      </c>
      <c r="B57">
        <v>57.3</v>
      </c>
      <c r="I57">
        <v>86.569000000000003</v>
      </c>
      <c r="J57">
        <v>143.47</v>
      </c>
      <c r="N57" s="1"/>
      <c r="O57" s="1">
        <v>0</v>
      </c>
      <c r="R57" t="e">
        <f t="shared" si="7"/>
        <v>#NUM!</v>
      </c>
    </row>
    <row r="58" spans="1:18">
      <c r="A58">
        <f t="shared" si="8"/>
        <v>2315.67</v>
      </c>
      <c r="B58">
        <v>58.9</v>
      </c>
      <c r="I58">
        <v>86.831999999999994</v>
      </c>
      <c r="J58">
        <v>136.83000000000001</v>
      </c>
      <c r="N58" s="1"/>
      <c r="O58" s="1">
        <v>0</v>
      </c>
      <c r="R58" t="e">
        <f t="shared" si="7"/>
        <v>#NUM!</v>
      </c>
    </row>
    <row r="59" spans="1:18">
      <c r="A59">
        <f t="shared" si="8"/>
        <v>2316.17</v>
      </c>
      <c r="B59">
        <v>60.5</v>
      </c>
      <c r="I59">
        <v>87.004000000000005</v>
      </c>
      <c r="J59">
        <v>130.43</v>
      </c>
      <c r="N59" s="1"/>
      <c r="O59" s="1">
        <v>0</v>
      </c>
      <c r="R59" t="e">
        <f t="shared" si="7"/>
        <v>#NUM!</v>
      </c>
    </row>
    <row r="60" spans="1:18">
      <c r="A60">
        <f t="shared" si="8"/>
        <v>2316.67</v>
      </c>
      <c r="B60">
        <v>62.1</v>
      </c>
      <c r="I60">
        <v>87.1</v>
      </c>
      <c r="J60">
        <v>124.36</v>
      </c>
      <c r="N60" s="1"/>
      <c r="O60" s="1">
        <v>0</v>
      </c>
      <c r="R60" t="e">
        <f t="shared" si="7"/>
        <v>#NUM!</v>
      </c>
    </row>
    <row r="61" spans="1:18">
      <c r="A61">
        <f t="shared" si="8"/>
        <v>2317.17</v>
      </c>
      <c r="B61">
        <v>63.8</v>
      </c>
      <c r="I61">
        <v>87.132999999999996</v>
      </c>
      <c r="J61">
        <v>118.67</v>
      </c>
      <c r="N61" s="1"/>
      <c r="O61" s="1">
        <v>0</v>
      </c>
      <c r="R61" t="e">
        <f t="shared" si="7"/>
        <v>#NUM!</v>
      </c>
    </row>
    <row r="62" spans="1:18">
      <c r="A62">
        <f t="shared" si="8"/>
        <v>2317.67</v>
      </c>
      <c r="B62">
        <v>65.599999999999994</v>
      </c>
      <c r="I62">
        <v>87.117000000000004</v>
      </c>
      <c r="J62">
        <v>113.4</v>
      </c>
      <c r="N62" s="1"/>
      <c r="O62" s="1">
        <v>0</v>
      </c>
      <c r="R62" t="e">
        <f t="shared" si="7"/>
        <v>#NUM!</v>
      </c>
    </row>
    <row r="63" spans="1:18">
      <c r="A63">
        <f t="shared" si="8"/>
        <v>2318.17</v>
      </c>
      <c r="B63">
        <v>67.400000000000006</v>
      </c>
      <c r="I63">
        <v>87.033000000000001</v>
      </c>
      <c r="J63">
        <v>108.53</v>
      </c>
      <c r="N63" s="1"/>
      <c r="O63" s="1">
        <v>0</v>
      </c>
      <c r="R63" t="e">
        <f t="shared" si="7"/>
        <v>#NUM!</v>
      </c>
    </row>
    <row r="64" spans="1:18">
      <c r="A64">
        <f t="shared" si="8"/>
        <v>2318.67</v>
      </c>
      <c r="B64">
        <v>69.2</v>
      </c>
      <c r="I64">
        <v>86.927999999999997</v>
      </c>
      <c r="J64">
        <v>104.05</v>
      </c>
      <c r="N64" s="1"/>
      <c r="O64" s="1">
        <v>0</v>
      </c>
      <c r="R64" t="e">
        <f t="shared" si="7"/>
        <v>#NUM!</v>
      </c>
    </row>
    <row r="65" spans="1:18">
      <c r="A65">
        <f t="shared" si="8"/>
        <v>2319.17</v>
      </c>
      <c r="B65">
        <v>71.099999999999994</v>
      </c>
      <c r="I65">
        <v>86.81</v>
      </c>
      <c r="J65">
        <v>99.936000000000007</v>
      </c>
      <c r="N65" s="1"/>
      <c r="O65" s="1">
        <v>0</v>
      </c>
      <c r="R65" t="e">
        <f t="shared" si="7"/>
        <v>#NUM!</v>
      </c>
    </row>
    <row r="66" spans="1:18">
      <c r="A66">
        <f t="shared" si="8"/>
        <v>2319.67</v>
      </c>
      <c r="B66">
        <v>73.099999999999994</v>
      </c>
      <c r="I66">
        <v>86.686999999999998</v>
      </c>
      <c r="J66">
        <v>96.144999999999996</v>
      </c>
      <c r="N66" s="1"/>
      <c r="O66" s="1">
        <v>0</v>
      </c>
      <c r="R66" t="e">
        <f t="shared" si="7"/>
        <v>#NUM!</v>
      </c>
    </row>
    <row r="67" spans="1:18">
      <c r="A67">
        <f t="shared" si="8"/>
        <v>2320.17</v>
      </c>
      <c r="B67">
        <v>75.099999999999994</v>
      </c>
      <c r="I67">
        <v>86.56</v>
      </c>
      <c r="J67">
        <v>92.623000000000005</v>
      </c>
      <c r="N67" s="1"/>
      <c r="O67" s="1">
        <v>0</v>
      </c>
      <c r="R67" t="e">
        <f t="shared" si="7"/>
        <v>#NUM!</v>
      </c>
    </row>
    <row r="68" spans="1:18">
      <c r="A68">
        <f t="shared" si="8"/>
        <v>2320.67</v>
      </c>
      <c r="B68">
        <v>77.099999999999994</v>
      </c>
      <c r="I68">
        <v>86.433999999999997</v>
      </c>
      <c r="J68">
        <v>89.334999999999994</v>
      </c>
      <c r="N68" s="1"/>
      <c r="O68" s="1">
        <v>0</v>
      </c>
      <c r="R68" t="e">
        <f t="shared" si="7"/>
        <v>#NUM!</v>
      </c>
    </row>
    <row r="69" spans="1:18">
      <c r="A69">
        <f t="shared" si="8"/>
        <v>2321.17</v>
      </c>
      <c r="B69">
        <v>79.3</v>
      </c>
      <c r="I69">
        <v>86.311000000000007</v>
      </c>
      <c r="J69">
        <v>86.287000000000006</v>
      </c>
      <c r="N69" s="1"/>
      <c r="O69" s="1">
        <v>0</v>
      </c>
      <c r="R69" t="e">
        <f t="shared" si="7"/>
        <v>#NUM!</v>
      </c>
    </row>
    <row r="70" spans="1:18">
      <c r="A70">
        <f t="shared" si="8"/>
        <v>2321.67</v>
      </c>
      <c r="B70">
        <v>81.400000000000006</v>
      </c>
      <c r="I70">
        <v>86.192999999999998</v>
      </c>
      <c r="J70">
        <v>83.472999999999999</v>
      </c>
      <c r="N70" s="1"/>
      <c r="O70" s="1">
        <v>0</v>
      </c>
      <c r="R70" t="e">
        <f t="shared" si="7"/>
        <v>#NUM!</v>
      </c>
    </row>
    <row r="71" spans="1:18">
      <c r="A71">
        <f t="shared" si="8"/>
        <v>2322.17</v>
      </c>
      <c r="B71">
        <v>83.7</v>
      </c>
      <c r="I71">
        <v>86.081999999999994</v>
      </c>
      <c r="J71">
        <v>80.855000000000004</v>
      </c>
      <c r="N71" s="1"/>
      <c r="O71" s="1">
        <v>0</v>
      </c>
      <c r="R71" t="e">
        <f t="shared" si="7"/>
        <v>#NUM!</v>
      </c>
    </row>
    <row r="72" spans="1:18">
      <c r="A72">
        <f t="shared" si="8"/>
        <v>2322.67</v>
      </c>
      <c r="B72">
        <v>86</v>
      </c>
      <c r="I72">
        <v>85.977999999999994</v>
      </c>
      <c r="J72">
        <v>78.438000000000002</v>
      </c>
      <c r="N72" s="1"/>
      <c r="O72" s="1">
        <v>0</v>
      </c>
      <c r="R72" t="e">
        <f t="shared" si="7"/>
        <v>#NUM!</v>
      </c>
    </row>
    <row r="73" spans="1:18">
      <c r="A73">
        <f t="shared" si="8"/>
        <v>2323.17</v>
      </c>
      <c r="B73">
        <v>88.3</v>
      </c>
      <c r="I73">
        <v>85.882999999999996</v>
      </c>
      <c r="J73">
        <v>76.245000000000005</v>
      </c>
      <c r="N73" s="1"/>
      <c r="O73" s="1">
        <v>0</v>
      </c>
      <c r="R73" t="e">
        <f t="shared" si="7"/>
        <v>#NUM!</v>
      </c>
    </row>
    <row r="74" spans="1:18">
      <c r="A74">
        <f t="shared" si="8"/>
        <v>2323.67</v>
      </c>
      <c r="B74">
        <v>90.7</v>
      </c>
      <c r="I74">
        <v>85.801000000000002</v>
      </c>
      <c r="J74">
        <v>74.242999999999995</v>
      </c>
      <c r="N74" s="1"/>
      <c r="O74" s="1">
        <v>0</v>
      </c>
      <c r="R74" t="e">
        <f t="shared" si="7"/>
        <v>#NUM!</v>
      </c>
    </row>
    <row r="75" spans="1:18">
      <c r="A75">
        <f t="shared" si="8"/>
        <v>2324.17</v>
      </c>
      <c r="B75">
        <v>93.2</v>
      </c>
      <c r="I75">
        <v>85.730999999999995</v>
      </c>
      <c r="J75">
        <v>72.369</v>
      </c>
      <c r="N75" s="1"/>
      <c r="O75" s="1">
        <v>0</v>
      </c>
      <c r="R75" t="e">
        <f t="shared" si="7"/>
        <v>#NUM!</v>
      </c>
    </row>
    <row r="76" spans="1:18">
      <c r="A76">
        <f t="shared" si="8"/>
        <v>2324.67</v>
      </c>
      <c r="B76">
        <v>95.8</v>
      </c>
      <c r="I76">
        <v>85.671000000000006</v>
      </c>
      <c r="J76">
        <v>70.575999999999993</v>
      </c>
      <c r="N76" s="1"/>
      <c r="O76" s="1">
        <v>0</v>
      </c>
      <c r="R76" t="e">
        <f t="shared" si="7"/>
        <v>#NUM!</v>
      </c>
    </row>
    <row r="77" spans="1:18">
      <c r="A77">
        <f t="shared" si="8"/>
        <v>2325.17</v>
      </c>
      <c r="B77">
        <v>98.4</v>
      </c>
      <c r="I77">
        <v>85.623000000000005</v>
      </c>
      <c r="J77">
        <v>68.814999999999998</v>
      </c>
      <c r="N77" s="1"/>
      <c r="O77" s="1">
        <v>0</v>
      </c>
      <c r="R77" t="e">
        <f t="shared" si="7"/>
        <v>#NUM!</v>
      </c>
    </row>
    <row r="78" spans="1:18">
      <c r="A78">
        <f t="shared" si="8"/>
        <v>2325.67</v>
      </c>
      <c r="B78">
        <v>101.1</v>
      </c>
      <c r="I78">
        <v>85.584999999999994</v>
      </c>
      <c r="J78">
        <v>67.042000000000002</v>
      </c>
      <c r="N78" s="1"/>
      <c r="O78" s="1">
        <v>0</v>
      </c>
      <c r="R78" t="e">
        <f t="shared" si="7"/>
        <v>#NUM!</v>
      </c>
    </row>
    <row r="79" spans="1:18">
      <c r="A79">
        <f t="shared" si="8"/>
        <v>2326.17</v>
      </c>
      <c r="B79">
        <v>103.8</v>
      </c>
      <c r="I79">
        <v>85.558000000000007</v>
      </c>
      <c r="J79">
        <v>65.268000000000001</v>
      </c>
      <c r="N79" s="1"/>
      <c r="O79" s="1">
        <v>0</v>
      </c>
      <c r="R79" t="e">
        <f t="shared" si="7"/>
        <v>#NUM!</v>
      </c>
    </row>
    <row r="80" spans="1:18">
      <c r="A80">
        <f t="shared" si="8"/>
        <v>2326.67</v>
      </c>
      <c r="B80">
        <v>106.7</v>
      </c>
      <c r="I80">
        <v>85.540999999999997</v>
      </c>
      <c r="J80">
        <v>63.543999999999997</v>
      </c>
      <c r="N80" s="1"/>
      <c r="O80" s="1">
        <v>0</v>
      </c>
      <c r="R80" t="e">
        <f t="shared" si="7"/>
        <v>#NUM!</v>
      </c>
    </row>
    <row r="81" spans="1:18">
      <c r="A81">
        <f t="shared" si="8"/>
        <v>2327.17</v>
      </c>
      <c r="B81">
        <v>109.6</v>
      </c>
      <c r="I81">
        <v>85.531000000000006</v>
      </c>
      <c r="J81">
        <v>61.811999999999998</v>
      </c>
      <c r="N81" s="1"/>
      <c r="O81" s="1">
        <v>0</v>
      </c>
      <c r="R81" t="e">
        <f t="shared" si="7"/>
        <v>#NUM!</v>
      </c>
    </row>
    <row r="82" spans="1:18">
      <c r="A82">
        <f t="shared" si="8"/>
        <v>2327.67</v>
      </c>
      <c r="B82">
        <v>112.6</v>
      </c>
      <c r="I82">
        <v>85.525000000000006</v>
      </c>
      <c r="J82">
        <v>60.076000000000001</v>
      </c>
      <c r="N82" s="1"/>
      <c r="O82" s="1">
        <v>0</v>
      </c>
      <c r="R82" t="e">
        <f t="shared" ref="R82:R103" si="9">20*LOG(R$12*$G82/0.00002)-$N82-$O82</f>
        <v>#NUM!</v>
      </c>
    </row>
    <row r="83" spans="1:18">
      <c r="A83">
        <f t="shared" si="8"/>
        <v>2328.17</v>
      </c>
      <c r="B83">
        <v>115.7</v>
      </c>
      <c r="I83">
        <v>85.52</v>
      </c>
      <c r="J83">
        <v>58.456000000000003</v>
      </c>
      <c r="N83" s="1"/>
      <c r="O83" s="1">
        <v>0</v>
      </c>
      <c r="R83" t="e">
        <f t="shared" si="9"/>
        <v>#NUM!</v>
      </c>
    </row>
    <row r="84" spans="1:18">
      <c r="A84">
        <f t="shared" ref="A84:A147" si="10">+A83+0.5</f>
        <v>2328.67</v>
      </c>
      <c r="B84">
        <v>118.9</v>
      </c>
      <c r="I84">
        <v>85.513000000000005</v>
      </c>
      <c r="J84">
        <v>56.808999999999997</v>
      </c>
      <c r="N84" s="1"/>
      <c r="O84" s="1">
        <v>0</v>
      </c>
      <c r="R84" t="e">
        <f t="shared" si="9"/>
        <v>#NUM!</v>
      </c>
    </row>
    <row r="85" spans="1:18">
      <c r="A85">
        <f t="shared" si="10"/>
        <v>2329.17</v>
      </c>
      <c r="B85">
        <v>122.1</v>
      </c>
      <c r="I85">
        <v>85.495999999999995</v>
      </c>
      <c r="J85">
        <v>54.982999999999997</v>
      </c>
      <c r="N85" s="1"/>
      <c r="O85" s="1">
        <v>0</v>
      </c>
      <c r="R85" t="e">
        <f t="shared" si="9"/>
        <v>#NUM!</v>
      </c>
    </row>
    <row r="86" spans="1:18">
      <c r="A86">
        <f t="shared" si="10"/>
        <v>2329.67</v>
      </c>
      <c r="B86">
        <v>125.5</v>
      </c>
      <c r="I86">
        <v>85.459000000000003</v>
      </c>
      <c r="J86">
        <v>53.122</v>
      </c>
      <c r="N86" s="1"/>
      <c r="O86" s="1">
        <v>0</v>
      </c>
      <c r="R86" t="e">
        <f t="shared" si="9"/>
        <v>#NUM!</v>
      </c>
    </row>
    <row r="87" spans="1:18">
      <c r="A87">
        <f t="shared" si="10"/>
        <v>2330.17</v>
      </c>
      <c r="B87">
        <v>128.9</v>
      </c>
      <c r="I87">
        <v>85.39</v>
      </c>
      <c r="J87">
        <v>51.252000000000002</v>
      </c>
      <c r="N87" s="1"/>
      <c r="O87" s="1">
        <v>0</v>
      </c>
      <c r="R87" t="e">
        <f t="shared" si="9"/>
        <v>#NUM!</v>
      </c>
    </row>
    <row r="88" spans="1:18">
      <c r="A88">
        <f t="shared" si="10"/>
        <v>2330.67</v>
      </c>
      <c r="B88">
        <v>132.4</v>
      </c>
      <c r="I88">
        <v>85.283000000000001</v>
      </c>
      <c r="J88">
        <v>49.337000000000003</v>
      </c>
      <c r="N88" s="1"/>
      <c r="O88" s="1">
        <v>0</v>
      </c>
      <c r="R88" t="e">
        <f t="shared" si="9"/>
        <v>#NUM!</v>
      </c>
    </row>
    <row r="89" spans="1:18">
      <c r="A89">
        <f t="shared" si="10"/>
        <v>2331.17</v>
      </c>
      <c r="B89">
        <v>136.1</v>
      </c>
      <c r="I89">
        <v>85.147000000000006</v>
      </c>
      <c r="J89">
        <v>47.53</v>
      </c>
      <c r="N89" s="1"/>
      <c r="O89" s="1">
        <v>0</v>
      </c>
      <c r="R89" t="e">
        <f t="shared" si="9"/>
        <v>#NUM!</v>
      </c>
    </row>
    <row r="90" spans="1:18">
      <c r="A90">
        <f t="shared" si="10"/>
        <v>2331.67</v>
      </c>
      <c r="B90">
        <v>139.80000000000001</v>
      </c>
      <c r="I90">
        <v>84.992000000000004</v>
      </c>
      <c r="J90">
        <v>45.881999999999998</v>
      </c>
      <c r="N90" s="1"/>
      <c r="O90" s="1">
        <v>0</v>
      </c>
      <c r="R90" t="e">
        <f t="shared" si="9"/>
        <v>#NUM!</v>
      </c>
    </row>
    <row r="91" spans="1:18">
      <c r="A91">
        <f t="shared" si="10"/>
        <v>2332.17</v>
      </c>
      <c r="B91">
        <v>143.6</v>
      </c>
      <c r="I91">
        <v>84.835999999999999</v>
      </c>
      <c r="J91">
        <v>44.484999999999999</v>
      </c>
      <c r="N91" s="1"/>
      <c r="O91" s="1">
        <v>0</v>
      </c>
      <c r="R91" t="e">
        <f t="shared" si="9"/>
        <v>#NUM!</v>
      </c>
    </row>
    <row r="92" spans="1:18">
      <c r="A92">
        <f t="shared" si="10"/>
        <v>2332.67</v>
      </c>
      <c r="B92">
        <v>147.6</v>
      </c>
      <c r="I92">
        <v>84.692999999999998</v>
      </c>
      <c r="J92">
        <v>43.505000000000003</v>
      </c>
      <c r="N92" s="1"/>
      <c r="O92" s="1">
        <v>0</v>
      </c>
      <c r="R92" t="e">
        <f t="shared" si="9"/>
        <v>#NUM!</v>
      </c>
    </row>
    <row r="93" spans="1:18">
      <c r="A93">
        <f t="shared" si="10"/>
        <v>2333.17</v>
      </c>
      <c r="B93">
        <v>151.6</v>
      </c>
      <c r="I93">
        <v>84.578999999999994</v>
      </c>
      <c r="J93">
        <v>42.753</v>
      </c>
      <c r="N93" s="1"/>
      <c r="O93" s="1">
        <v>0</v>
      </c>
      <c r="R93" t="e">
        <f t="shared" si="9"/>
        <v>#NUM!</v>
      </c>
    </row>
    <row r="94" spans="1:18">
      <c r="A94">
        <f t="shared" si="10"/>
        <v>2333.67</v>
      </c>
      <c r="B94">
        <v>155.69999999999999</v>
      </c>
      <c r="I94">
        <v>84.51</v>
      </c>
      <c r="J94">
        <v>41.991999999999997</v>
      </c>
      <c r="N94" s="1"/>
      <c r="O94" s="1">
        <v>0</v>
      </c>
      <c r="R94" t="e">
        <f t="shared" si="9"/>
        <v>#NUM!</v>
      </c>
    </row>
    <row r="95" spans="1:18">
      <c r="A95">
        <f t="shared" si="10"/>
        <v>2334.17</v>
      </c>
      <c r="B95">
        <v>160</v>
      </c>
      <c r="I95">
        <v>84.507999999999996</v>
      </c>
      <c r="J95">
        <v>41.22</v>
      </c>
      <c r="N95" s="1"/>
      <c r="O95" s="1">
        <v>0</v>
      </c>
      <c r="R95" t="e">
        <f t="shared" si="9"/>
        <v>#NUM!</v>
      </c>
    </row>
    <row r="96" spans="1:18">
      <c r="A96">
        <f t="shared" si="10"/>
        <v>2334.67</v>
      </c>
      <c r="B96">
        <v>164.4</v>
      </c>
      <c r="I96">
        <v>84.573999999999998</v>
      </c>
      <c r="J96">
        <v>40.322000000000003</v>
      </c>
      <c r="N96" s="1"/>
      <c r="O96" s="1">
        <v>0</v>
      </c>
      <c r="R96" t="e">
        <f t="shared" si="9"/>
        <v>#NUM!</v>
      </c>
    </row>
    <row r="97" spans="1:24">
      <c r="A97">
        <f t="shared" si="10"/>
        <v>2335.17</v>
      </c>
      <c r="B97">
        <v>168.9</v>
      </c>
      <c r="I97">
        <v>84.673000000000002</v>
      </c>
      <c r="J97">
        <v>39.311</v>
      </c>
      <c r="N97" s="1"/>
      <c r="O97" s="1">
        <v>0</v>
      </c>
      <c r="R97" t="e">
        <f t="shared" si="9"/>
        <v>#NUM!</v>
      </c>
    </row>
    <row r="98" spans="1:24">
      <c r="A98">
        <f t="shared" si="10"/>
        <v>2335.67</v>
      </c>
      <c r="B98">
        <v>173.5</v>
      </c>
      <c r="I98">
        <v>84.777000000000001</v>
      </c>
      <c r="J98">
        <v>38.493000000000002</v>
      </c>
      <c r="N98" s="1"/>
      <c r="O98" s="1">
        <v>0</v>
      </c>
      <c r="R98" t="e">
        <f t="shared" si="9"/>
        <v>#NUM!</v>
      </c>
    </row>
    <row r="99" spans="1:24">
      <c r="A99">
        <f t="shared" si="10"/>
        <v>2336.17</v>
      </c>
      <c r="B99">
        <v>178.3</v>
      </c>
      <c r="I99">
        <v>84.852000000000004</v>
      </c>
      <c r="J99">
        <v>37.756</v>
      </c>
      <c r="N99" s="1"/>
      <c r="O99" s="1">
        <v>0</v>
      </c>
      <c r="R99" t="e">
        <f t="shared" si="9"/>
        <v>#NUM!</v>
      </c>
    </row>
    <row r="100" spans="1:24">
      <c r="A100">
        <f t="shared" si="10"/>
        <v>2336.67</v>
      </c>
      <c r="B100">
        <v>183.2</v>
      </c>
      <c r="I100">
        <v>84.881</v>
      </c>
      <c r="J100">
        <v>37.055</v>
      </c>
      <c r="N100" s="1"/>
      <c r="O100" s="1">
        <v>0</v>
      </c>
      <c r="R100" t="e">
        <f t="shared" si="9"/>
        <v>#NUM!</v>
      </c>
    </row>
    <row r="101" spans="1:24">
      <c r="A101">
        <f t="shared" si="10"/>
        <v>2337.17</v>
      </c>
      <c r="B101">
        <v>188.2</v>
      </c>
      <c r="I101">
        <v>84.864000000000004</v>
      </c>
      <c r="J101">
        <v>36.786999999999999</v>
      </c>
      <c r="N101" s="1"/>
      <c r="O101" s="1">
        <v>0</v>
      </c>
      <c r="R101" t="e">
        <f t="shared" si="9"/>
        <v>#NUM!</v>
      </c>
    </row>
    <row r="102" spans="1:24">
      <c r="A102">
        <f t="shared" si="10"/>
        <v>2337.67</v>
      </c>
      <c r="B102">
        <v>193.3</v>
      </c>
      <c r="I102">
        <v>84.807000000000002</v>
      </c>
      <c r="J102">
        <v>37.136000000000003</v>
      </c>
      <c r="N102" s="1"/>
      <c r="O102" s="1">
        <v>0</v>
      </c>
      <c r="R102" t="e">
        <f t="shared" si="9"/>
        <v>#NUM!</v>
      </c>
    </row>
    <row r="103" spans="1:24">
      <c r="A103">
        <f t="shared" si="10"/>
        <v>2338.17</v>
      </c>
      <c r="B103">
        <v>198.6</v>
      </c>
      <c r="I103">
        <v>84.73</v>
      </c>
      <c r="J103">
        <v>37.401000000000003</v>
      </c>
      <c r="N103" s="1"/>
      <c r="O103" s="1">
        <v>0</v>
      </c>
      <c r="R103" t="e">
        <f t="shared" si="9"/>
        <v>#NUM!</v>
      </c>
    </row>
    <row r="104" spans="1:24">
      <c r="A104">
        <f t="shared" si="10"/>
        <v>2338.67</v>
      </c>
      <c r="B104">
        <v>204</v>
      </c>
      <c r="C104" s="1">
        <v>17.5</v>
      </c>
      <c r="D104" s="1">
        <v>0</v>
      </c>
      <c r="E104" s="1">
        <v>23</v>
      </c>
      <c r="F104" s="1">
        <v>3</v>
      </c>
      <c r="G104" s="1"/>
      <c r="H104" s="7"/>
      <c r="I104">
        <v>84.84</v>
      </c>
      <c r="J104">
        <v>37.744999999999997</v>
      </c>
      <c r="N104" s="1"/>
      <c r="O104" s="1">
        <v>0</v>
      </c>
      <c r="P104">
        <f>20*LOG(P$12*$C104/0.00002)-$N104-$O104+P$4</f>
        <v>88.398859744633725</v>
      </c>
      <c r="Q104">
        <f>20*LOG(Q$12*$E104/0.00002)-$N104-$O104+Q$4</f>
        <v>88.772655491259712</v>
      </c>
      <c r="R104" t="e">
        <f>20*LOG(R$12*$G104/0.00002)-$N104-$O104+R$4</f>
        <v>#NUM!</v>
      </c>
      <c r="V104">
        <f t="shared" ref="V104" si="11">(D104/360+V$4/V$5*$B104+0.5*V$6-INT(D104/360+V$4/V$5*$B104+0.5*V$6)+IF(D104/360+V$4/V$5*$B104+0.5*V$6-INT(D104/360+V$4/V$5*$B104+0.5*V$6)&gt;0.5,-1,0))*360</f>
        <v>40.700347773586699</v>
      </c>
      <c r="W104">
        <f>(F104/360+W$4/W$5*$B104+0.5*W$6-INT(F104/360+W$4/W$5*$B104+0.5*W$6)+IF(F104/360+W$4/W$5*$B104+0.5*W$6-INT(F104/360+W$4/W$5*$B104+0.5*W$6)&gt;0.5,-1,0))*360</f>
        <v>43.700347773586685</v>
      </c>
      <c r="X104">
        <f>(H104/360+X$4/X$5*$B104+0.5*X$6-INT(H104/360+X$4/X$5*$B104+0.5*X$6)+IF(H104/360+X$4/X$5*$B104+0.5*X$6-INT(H104/360+X$4/X$5*$B104+0.5*X$6)&gt;0.5,-1,0))*360</f>
        <v>40.700347773586699</v>
      </c>
    </row>
    <row r="105" spans="1:24">
      <c r="A105">
        <f t="shared" si="10"/>
        <v>2339.17</v>
      </c>
      <c r="B105">
        <v>209.6</v>
      </c>
      <c r="C105" s="1">
        <v>17.5</v>
      </c>
      <c r="D105" s="1">
        <v>355</v>
      </c>
      <c r="E105" s="1">
        <v>23</v>
      </c>
      <c r="F105" s="1">
        <v>357</v>
      </c>
      <c r="G105" s="1"/>
      <c r="H105" s="7"/>
      <c r="I105">
        <v>84.988</v>
      </c>
      <c r="J105">
        <v>37.575000000000003</v>
      </c>
      <c r="K105" s="1">
        <f>+F104-F105</f>
        <v>-354</v>
      </c>
      <c r="N105" s="1"/>
      <c r="O105" s="1">
        <v>0</v>
      </c>
      <c r="P105">
        <f t="shared" ref="P105:P168" si="12">20*LOG(P$12*$C105/0.00002)-$N105-$O105+P$4</f>
        <v>88.398859744633725</v>
      </c>
      <c r="Q105">
        <f t="shared" ref="Q105:Q168" si="13">20*LOG(Q$12*$E105/0.00002)-$N105-$O105+Q$4</f>
        <v>88.772655491259712</v>
      </c>
      <c r="R105" t="e">
        <f t="shared" ref="R105:R168" si="14">20*LOG(R$12*$G105/0.00002)-$N105-$O105+R$4</f>
        <v>#NUM!</v>
      </c>
      <c r="V105">
        <f t="shared" ref="V105:V168" si="15">(D105/360+V$4/V$5*$B105+0.5*V$6-INT(D105/360+V$4/V$5*$B105+0.5*V$6)+IF(D105/360+V$4/V$5*$B105+0.5*V$6-INT(D105/360+V$4/V$5*$B105+0.5*V$6)&gt;0.5,-1,0))*360</f>
        <v>41.758788692861764</v>
      </c>
      <c r="W105">
        <f t="shared" ref="W105:W168" si="16">(F105/360+W$4/W$5*$B105+0.5*W$6-INT(F105/360+W$4/W$5*$B105+0.5*W$6)+IF(F105/360+W$4/W$5*$B105+0.5*W$6-INT(F105/360+W$4/W$5*$B105+0.5*W$6)&gt;0.5,-1,0))*360</f>
        <v>43.758788692861756</v>
      </c>
      <c r="X105">
        <f t="shared" ref="X105:X168" si="17">(H105/360+X$4/X$5*$B105+0.5*X$6-INT(H105/360+X$4/X$5*$B105+0.5*X$6)+IF(H105/360+X$4/X$5*$B105+0.5*X$6-INT(H105/360+X$4/X$5*$B105+0.5*X$6)&gt;0.5,-1,0))*360</f>
        <v>46.758788692861664</v>
      </c>
    </row>
    <row r="106" spans="1:24">
      <c r="A106">
        <f t="shared" si="10"/>
        <v>2339.67</v>
      </c>
      <c r="B106">
        <v>215.4</v>
      </c>
      <c r="C106" s="1">
        <v>17.5</v>
      </c>
      <c r="D106" s="1">
        <v>348</v>
      </c>
      <c r="E106" s="1">
        <v>23</v>
      </c>
      <c r="F106" s="1">
        <v>350</v>
      </c>
      <c r="G106" s="1"/>
      <c r="H106" s="7"/>
      <c r="I106">
        <v>85.12</v>
      </c>
      <c r="J106">
        <v>36.656999999999996</v>
      </c>
      <c r="K106" s="1">
        <f t="shared" ref="K106:K169" si="18">+F105-F106</f>
        <v>7</v>
      </c>
      <c r="N106" s="1"/>
      <c r="O106" s="1">
        <v>0</v>
      </c>
      <c r="P106">
        <f t="shared" si="12"/>
        <v>88.398859744633725</v>
      </c>
      <c r="Q106">
        <f t="shared" si="13"/>
        <v>88.772655491259712</v>
      </c>
      <c r="R106" t="e">
        <f t="shared" si="14"/>
        <v>#NUM!</v>
      </c>
      <c r="V106">
        <f t="shared" si="15"/>
        <v>41.033602502110753</v>
      </c>
      <c r="W106">
        <f t="shared" si="16"/>
        <v>43.033602502110746</v>
      </c>
      <c r="X106">
        <f t="shared" si="17"/>
        <v>53.03360250211071</v>
      </c>
    </row>
    <row r="107" spans="1:24">
      <c r="A107">
        <f t="shared" si="10"/>
        <v>2340.17</v>
      </c>
      <c r="B107">
        <v>221.2</v>
      </c>
      <c r="C107" s="1">
        <v>17.5</v>
      </c>
      <c r="D107" s="1">
        <v>340</v>
      </c>
      <c r="E107" s="1">
        <v>23</v>
      </c>
      <c r="F107" s="1">
        <v>342</v>
      </c>
      <c r="G107" s="1"/>
      <c r="H107" s="7"/>
      <c r="I107">
        <v>85.218999999999994</v>
      </c>
      <c r="J107">
        <v>35.198</v>
      </c>
      <c r="K107" s="1">
        <f t="shared" si="18"/>
        <v>8</v>
      </c>
      <c r="N107" s="1"/>
      <c r="O107" s="1">
        <v>0</v>
      </c>
      <c r="P107">
        <f t="shared" si="12"/>
        <v>88.398859744633725</v>
      </c>
      <c r="Q107">
        <f t="shared" si="13"/>
        <v>88.772655491259712</v>
      </c>
      <c r="R107" t="e">
        <f t="shared" si="14"/>
        <v>#NUM!</v>
      </c>
      <c r="V107">
        <f t="shared" si="15"/>
        <v>39.30841631135975</v>
      </c>
      <c r="W107">
        <f t="shared" si="16"/>
        <v>41.308416311359736</v>
      </c>
      <c r="X107">
        <f t="shared" si="17"/>
        <v>59.308416311359679</v>
      </c>
    </row>
    <row r="108" spans="1:24">
      <c r="A108">
        <f t="shared" si="10"/>
        <v>2340.67</v>
      </c>
      <c r="B108">
        <v>227.2</v>
      </c>
      <c r="C108" s="1">
        <v>17.5</v>
      </c>
      <c r="D108" s="1">
        <v>332</v>
      </c>
      <c r="E108" s="1">
        <v>22</v>
      </c>
      <c r="F108" s="1">
        <v>333</v>
      </c>
      <c r="G108" s="1"/>
      <c r="H108" s="7"/>
      <c r="I108">
        <v>85.299000000000007</v>
      </c>
      <c r="J108">
        <v>33.734999999999999</v>
      </c>
      <c r="K108" s="1">
        <f t="shared" si="18"/>
        <v>9</v>
      </c>
      <c r="N108" s="1"/>
      <c r="O108" s="1">
        <v>0</v>
      </c>
      <c r="P108">
        <f t="shared" si="12"/>
        <v>88.398859744633725</v>
      </c>
      <c r="Q108">
        <f t="shared" si="13"/>
        <v>88.386552387351969</v>
      </c>
      <c r="R108" t="e">
        <f t="shared" si="14"/>
        <v>#NUM!</v>
      </c>
      <c r="V108">
        <f t="shared" si="15"/>
        <v>37.799603010582814</v>
      </c>
      <c r="W108">
        <f t="shared" si="16"/>
        <v>38.79960301058297</v>
      </c>
      <c r="X108">
        <f t="shared" si="17"/>
        <v>65.799603010582871</v>
      </c>
    </row>
    <row r="109" spans="1:24">
      <c r="A109">
        <f t="shared" si="10"/>
        <v>2341.17</v>
      </c>
      <c r="B109">
        <v>233.4</v>
      </c>
      <c r="C109" s="1">
        <v>17</v>
      </c>
      <c r="D109" s="1">
        <v>324</v>
      </c>
      <c r="E109" s="1">
        <v>22</v>
      </c>
      <c r="F109" s="1">
        <v>325</v>
      </c>
      <c r="G109" s="1"/>
      <c r="H109" s="7"/>
      <c r="I109">
        <v>85.363</v>
      </c>
      <c r="J109">
        <v>32.441000000000003</v>
      </c>
      <c r="K109" s="1">
        <f t="shared" si="18"/>
        <v>8</v>
      </c>
      <c r="N109" s="1"/>
      <c r="O109" s="1">
        <v>0</v>
      </c>
      <c r="P109">
        <f t="shared" si="12"/>
        <v>88.147077198473326</v>
      </c>
      <c r="Q109">
        <f t="shared" si="13"/>
        <v>88.386552387351969</v>
      </c>
      <c r="R109" t="e">
        <f t="shared" si="14"/>
        <v>#NUM!</v>
      </c>
      <c r="V109">
        <f t="shared" si="15"/>
        <v>36.507162599780116</v>
      </c>
      <c r="W109">
        <f t="shared" si="16"/>
        <v>37.507162599780116</v>
      </c>
      <c r="X109">
        <f t="shared" si="17"/>
        <v>72.507162599780145</v>
      </c>
    </row>
    <row r="110" spans="1:24">
      <c r="A110">
        <f t="shared" si="10"/>
        <v>2341.67</v>
      </c>
      <c r="B110">
        <v>239.8</v>
      </c>
      <c r="C110" s="1">
        <v>16.5</v>
      </c>
      <c r="D110" s="1">
        <v>316</v>
      </c>
      <c r="E110" s="1">
        <v>21.5</v>
      </c>
      <c r="F110" s="1">
        <v>317</v>
      </c>
      <c r="G110" s="1"/>
      <c r="H110" s="7"/>
      <c r="I110">
        <v>85.379000000000005</v>
      </c>
      <c r="J110">
        <v>31.041</v>
      </c>
      <c r="K110" s="1">
        <f t="shared" si="18"/>
        <v>8</v>
      </c>
      <c r="N110" s="1"/>
      <c r="O110" s="1">
        <v>0</v>
      </c>
      <c r="P110">
        <f t="shared" si="12"/>
        <v>87.887777655185971</v>
      </c>
      <c r="Q110">
        <f t="shared" si="13"/>
        <v>88.186867969219946</v>
      </c>
      <c r="R110" t="e">
        <f t="shared" si="14"/>
        <v>#NUM!</v>
      </c>
      <c r="V110">
        <f t="shared" si="15"/>
        <v>35.431095078951493</v>
      </c>
      <c r="W110">
        <f t="shared" si="16"/>
        <v>36.431095078951486</v>
      </c>
      <c r="X110">
        <f t="shared" si="17"/>
        <v>79.4310950789515</v>
      </c>
    </row>
    <row r="111" spans="1:24">
      <c r="A111">
        <f t="shared" si="10"/>
        <v>2342.17</v>
      </c>
      <c r="B111">
        <v>246.4</v>
      </c>
      <c r="C111" s="1">
        <v>16</v>
      </c>
      <c r="D111" s="1">
        <v>308</v>
      </c>
      <c r="E111" s="1">
        <v>21.5</v>
      </c>
      <c r="F111" s="1">
        <v>309</v>
      </c>
      <c r="G111" s="1"/>
      <c r="H111" s="7"/>
      <c r="I111">
        <v>85.314999999999998</v>
      </c>
      <c r="J111">
        <v>29.524000000000001</v>
      </c>
      <c r="K111" s="1">
        <f t="shared" si="18"/>
        <v>8</v>
      </c>
      <c r="N111" s="1"/>
      <c r="O111" s="1">
        <v>0</v>
      </c>
      <c r="P111">
        <f t="shared" si="12"/>
        <v>87.620498424026337</v>
      </c>
      <c r="Q111">
        <f t="shared" si="13"/>
        <v>88.186867969219946</v>
      </c>
      <c r="R111" t="e">
        <f t="shared" si="14"/>
        <v>#NUM!</v>
      </c>
      <c r="V111">
        <f t="shared" si="15"/>
        <v>34.571400448096945</v>
      </c>
      <c r="W111">
        <f t="shared" si="16"/>
        <v>35.571400448096938</v>
      </c>
      <c r="X111">
        <f t="shared" si="17"/>
        <v>86.571400448096924</v>
      </c>
    </row>
    <row r="112" spans="1:24">
      <c r="A112">
        <f t="shared" si="10"/>
        <v>2342.67</v>
      </c>
      <c r="B112">
        <v>253.2</v>
      </c>
      <c r="C112" s="1">
        <v>16</v>
      </c>
      <c r="D112" s="1">
        <v>300</v>
      </c>
      <c r="E112" s="1">
        <v>21.5</v>
      </c>
      <c r="F112" s="1">
        <v>301</v>
      </c>
      <c r="G112" s="1"/>
      <c r="H112" s="7"/>
      <c r="I112">
        <v>85.212000000000003</v>
      </c>
      <c r="J112">
        <v>28.46</v>
      </c>
      <c r="K112" s="1">
        <f t="shared" si="18"/>
        <v>8</v>
      </c>
      <c r="N112" s="1"/>
      <c r="O112" s="1">
        <v>0</v>
      </c>
      <c r="P112">
        <f t="shared" si="12"/>
        <v>87.620498424026337</v>
      </c>
      <c r="Q112">
        <f t="shared" si="13"/>
        <v>88.186867969219946</v>
      </c>
      <c r="R112" t="e">
        <f t="shared" si="14"/>
        <v>#NUM!</v>
      </c>
      <c r="V112">
        <f t="shared" si="15"/>
        <v>33.928078707216471</v>
      </c>
      <c r="W112">
        <f t="shared" si="16"/>
        <v>34.928078707216471</v>
      </c>
      <c r="X112">
        <f t="shared" si="17"/>
        <v>93.928078707216415</v>
      </c>
    </row>
    <row r="113" spans="1:24">
      <c r="A113">
        <f t="shared" si="10"/>
        <v>2343.17</v>
      </c>
      <c r="B113">
        <v>260.2</v>
      </c>
      <c r="C113" s="1">
        <v>16</v>
      </c>
      <c r="D113" s="1">
        <v>292</v>
      </c>
      <c r="E113" s="1">
        <v>21.5</v>
      </c>
      <c r="F113" s="1">
        <v>293</v>
      </c>
      <c r="G113" s="1"/>
      <c r="H113" s="7"/>
      <c r="I113">
        <v>85.174999999999997</v>
      </c>
      <c r="J113">
        <v>28.289000000000001</v>
      </c>
      <c r="K113" s="1">
        <f t="shared" si="18"/>
        <v>8</v>
      </c>
      <c r="N113" s="1"/>
      <c r="O113" s="1">
        <v>0</v>
      </c>
      <c r="P113">
        <f t="shared" si="12"/>
        <v>87.620498424026337</v>
      </c>
      <c r="Q113">
        <f t="shared" si="13"/>
        <v>88.186867969219946</v>
      </c>
      <c r="R113" t="e">
        <f t="shared" si="14"/>
        <v>#NUM!</v>
      </c>
      <c r="V113">
        <f t="shared" si="15"/>
        <v>33.501129856310072</v>
      </c>
      <c r="W113">
        <f t="shared" si="16"/>
        <v>34.501129856310072</v>
      </c>
      <c r="X113">
        <f t="shared" si="17"/>
        <v>101.50112985631014</v>
      </c>
    </row>
    <row r="114" spans="1:24">
      <c r="A114">
        <f t="shared" si="10"/>
        <v>2343.67</v>
      </c>
      <c r="B114">
        <v>267.39999999999998</v>
      </c>
      <c r="C114" s="1">
        <v>16</v>
      </c>
      <c r="D114" s="1">
        <v>284</v>
      </c>
      <c r="E114" s="1">
        <v>21</v>
      </c>
      <c r="F114" s="1">
        <v>285</v>
      </c>
      <c r="G114" s="1"/>
      <c r="H114" s="7"/>
      <c r="I114">
        <v>85.251999999999995</v>
      </c>
      <c r="J114">
        <v>28.73</v>
      </c>
      <c r="K114" s="1">
        <f t="shared" si="18"/>
        <v>8</v>
      </c>
      <c r="N114" s="1"/>
      <c r="O114" s="1">
        <v>0</v>
      </c>
      <c r="P114">
        <f t="shared" si="12"/>
        <v>87.620498424026337</v>
      </c>
      <c r="Q114">
        <f t="shared" si="13"/>
        <v>87.982484665586242</v>
      </c>
      <c r="R114" t="e">
        <f t="shared" si="14"/>
        <v>#NUM!</v>
      </c>
      <c r="V114">
        <f t="shared" si="15"/>
        <v>33.290553895377911</v>
      </c>
      <c r="W114">
        <f t="shared" si="16"/>
        <v>34.290553895377904</v>
      </c>
      <c r="X114">
        <f t="shared" si="17"/>
        <v>109.29055389537788</v>
      </c>
    </row>
    <row r="115" spans="1:24">
      <c r="A115">
        <f t="shared" si="10"/>
        <v>2344.17</v>
      </c>
      <c r="B115">
        <v>274.60000000000002</v>
      </c>
      <c r="C115" s="1">
        <v>16</v>
      </c>
      <c r="D115" s="1">
        <v>275</v>
      </c>
      <c r="E115" s="1">
        <v>21</v>
      </c>
      <c r="F115" s="1">
        <v>277</v>
      </c>
      <c r="G115" s="1"/>
      <c r="H115" s="7"/>
      <c r="I115">
        <v>85.366</v>
      </c>
      <c r="J115">
        <v>29.167000000000002</v>
      </c>
      <c r="K115" s="1">
        <f t="shared" si="18"/>
        <v>8</v>
      </c>
      <c r="N115" s="1"/>
      <c r="O115" s="1">
        <v>0</v>
      </c>
      <c r="P115">
        <f t="shared" si="12"/>
        <v>87.620498424026337</v>
      </c>
      <c r="Q115">
        <f t="shared" si="13"/>
        <v>87.982484665586242</v>
      </c>
      <c r="R115" t="e">
        <f t="shared" si="14"/>
        <v>#NUM!</v>
      </c>
      <c r="V115">
        <f t="shared" si="15"/>
        <v>32.079977934445587</v>
      </c>
      <c r="W115">
        <f t="shared" si="16"/>
        <v>34.079977934445736</v>
      </c>
      <c r="X115">
        <f t="shared" si="17"/>
        <v>117.07997793444568</v>
      </c>
    </row>
    <row r="116" spans="1:24">
      <c r="A116">
        <f t="shared" si="10"/>
        <v>2344.67</v>
      </c>
      <c r="B116">
        <v>282.2</v>
      </c>
      <c r="C116" s="1">
        <v>16</v>
      </c>
      <c r="D116" s="1">
        <v>265</v>
      </c>
      <c r="E116" s="1">
        <v>21</v>
      </c>
      <c r="F116" s="1">
        <v>268</v>
      </c>
      <c r="G116" s="1"/>
      <c r="H116" s="7"/>
      <c r="I116">
        <v>85.460999999999999</v>
      </c>
      <c r="J116">
        <v>29.337</v>
      </c>
      <c r="K116" s="1">
        <f t="shared" si="18"/>
        <v>9</v>
      </c>
      <c r="N116" s="1"/>
      <c r="O116" s="1">
        <v>0</v>
      </c>
      <c r="P116">
        <f t="shared" si="12"/>
        <v>87.620498424026337</v>
      </c>
      <c r="Q116">
        <f t="shared" si="13"/>
        <v>87.982484665586242</v>
      </c>
      <c r="R116" t="e">
        <f t="shared" si="14"/>
        <v>#NUM!</v>
      </c>
      <c r="V116">
        <f t="shared" si="15"/>
        <v>30.302147753461739</v>
      </c>
      <c r="W116">
        <f t="shared" si="16"/>
        <v>33.302147753461568</v>
      </c>
      <c r="X116">
        <f t="shared" si="17"/>
        <v>125.30214775346164</v>
      </c>
    </row>
    <row r="117" spans="1:24">
      <c r="A117">
        <f t="shared" si="10"/>
        <v>2345.17</v>
      </c>
      <c r="B117">
        <v>289.8</v>
      </c>
      <c r="C117" s="1">
        <v>16</v>
      </c>
      <c r="D117" s="1">
        <v>255</v>
      </c>
      <c r="E117" s="1">
        <v>21</v>
      </c>
      <c r="F117" s="1">
        <v>259</v>
      </c>
      <c r="G117" s="1"/>
      <c r="H117" s="7"/>
      <c r="I117">
        <v>85.608999999999995</v>
      </c>
      <c r="J117">
        <v>29.395</v>
      </c>
      <c r="K117" s="1">
        <f t="shared" si="18"/>
        <v>9</v>
      </c>
      <c r="N117" s="1"/>
      <c r="O117" s="1">
        <v>0</v>
      </c>
      <c r="P117">
        <f t="shared" si="12"/>
        <v>87.620498424026337</v>
      </c>
      <c r="Q117">
        <f t="shared" si="13"/>
        <v>87.982484665586242</v>
      </c>
      <c r="R117" t="e">
        <f t="shared" si="14"/>
        <v>#NUM!</v>
      </c>
      <c r="V117">
        <f t="shared" si="15"/>
        <v>28.524317572477571</v>
      </c>
      <c r="W117">
        <f t="shared" si="16"/>
        <v>32.524317572477557</v>
      </c>
      <c r="X117">
        <f t="shared" si="17"/>
        <v>133.52431757247768</v>
      </c>
    </row>
    <row r="118" spans="1:24">
      <c r="A118">
        <f t="shared" si="10"/>
        <v>2345.67</v>
      </c>
      <c r="B118">
        <v>297.8</v>
      </c>
      <c r="C118" s="1">
        <v>16</v>
      </c>
      <c r="D118" s="1">
        <v>245</v>
      </c>
      <c r="E118" s="1">
        <v>21.5</v>
      </c>
      <c r="F118" s="1">
        <v>250</v>
      </c>
      <c r="G118" s="1"/>
      <c r="H118" s="7"/>
      <c r="I118">
        <v>85.884</v>
      </c>
      <c r="J118">
        <v>29.097000000000001</v>
      </c>
      <c r="K118" s="1">
        <f t="shared" si="18"/>
        <v>9</v>
      </c>
      <c r="N118" s="1"/>
      <c r="O118" s="1">
        <v>0</v>
      </c>
      <c r="P118">
        <f t="shared" si="12"/>
        <v>87.620498424026337</v>
      </c>
      <c r="Q118">
        <f t="shared" si="13"/>
        <v>88.186867969219946</v>
      </c>
      <c r="R118" t="e">
        <f t="shared" si="14"/>
        <v>#NUM!</v>
      </c>
      <c r="V118">
        <f t="shared" si="15"/>
        <v>27.179233171441872</v>
      </c>
      <c r="W118">
        <f t="shared" si="16"/>
        <v>32.179233171441851</v>
      </c>
      <c r="X118">
        <f t="shared" si="17"/>
        <v>142.17923317144178</v>
      </c>
    </row>
    <row r="119" spans="1:24">
      <c r="A119">
        <f t="shared" si="10"/>
        <v>2346.17</v>
      </c>
      <c r="B119">
        <v>306</v>
      </c>
      <c r="C119" s="1">
        <v>16</v>
      </c>
      <c r="D119" s="1">
        <v>237</v>
      </c>
      <c r="E119" s="1">
        <v>21.5</v>
      </c>
      <c r="F119" s="1">
        <v>241</v>
      </c>
      <c r="G119" s="1"/>
      <c r="H119" s="7"/>
      <c r="I119">
        <v>86.281999999999996</v>
      </c>
      <c r="J119">
        <v>27.95</v>
      </c>
      <c r="K119" s="1">
        <f t="shared" si="18"/>
        <v>9</v>
      </c>
      <c r="N119" s="1"/>
      <c r="O119" s="1">
        <v>-0.06</v>
      </c>
      <c r="P119">
        <f t="shared" si="12"/>
        <v>87.680498424026339</v>
      </c>
      <c r="Q119">
        <f t="shared" si="13"/>
        <v>88.246867969219949</v>
      </c>
      <c r="R119" t="e">
        <f t="shared" si="14"/>
        <v>#NUM!</v>
      </c>
      <c r="V119">
        <f t="shared" si="15"/>
        <v>28.050521660380081</v>
      </c>
      <c r="W119">
        <f t="shared" si="16"/>
        <v>32.05052166038007</v>
      </c>
      <c r="X119">
        <f t="shared" si="17"/>
        <v>151.05052166038013</v>
      </c>
    </row>
    <row r="120" spans="1:24">
      <c r="A120">
        <f t="shared" si="10"/>
        <v>2346.67</v>
      </c>
      <c r="B120">
        <v>314.39999999999998</v>
      </c>
      <c r="C120" s="1">
        <v>16</v>
      </c>
      <c r="D120" s="1">
        <v>230</v>
      </c>
      <c r="E120" s="1">
        <v>22</v>
      </c>
      <c r="F120" s="1">
        <v>230</v>
      </c>
      <c r="G120" s="1"/>
      <c r="H120" s="7"/>
      <c r="I120">
        <v>86.778999999999996</v>
      </c>
      <c r="J120">
        <v>26.471</v>
      </c>
      <c r="K120" s="1">
        <f t="shared" si="18"/>
        <v>11</v>
      </c>
      <c r="N120" s="1"/>
      <c r="O120" s="1">
        <v>-0.1</v>
      </c>
      <c r="P120">
        <f t="shared" si="12"/>
        <v>87.720498424026331</v>
      </c>
      <c r="Q120">
        <f t="shared" si="13"/>
        <v>88.486552387351963</v>
      </c>
      <c r="R120" t="e">
        <f t="shared" si="14"/>
        <v>#NUM!</v>
      </c>
      <c r="V120">
        <f t="shared" si="15"/>
        <v>30.138183039292521</v>
      </c>
      <c r="W120">
        <f t="shared" si="16"/>
        <v>30.138183039292521</v>
      </c>
      <c r="X120">
        <f t="shared" si="17"/>
        <v>160.13818303929247</v>
      </c>
    </row>
    <row r="121" spans="1:24">
      <c r="A121">
        <f t="shared" si="10"/>
        <v>2347.17</v>
      </c>
      <c r="B121">
        <v>323</v>
      </c>
      <c r="C121" s="1">
        <v>16.5</v>
      </c>
      <c r="D121" s="1">
        <v>223</v>
      </c>
      <c r="E121" s="1">
        <v>22</v>
      </c>
      <c r="F121" s="1">
        <v>220</v>
      </c>
      <c r="G121" s="1"/>
      <c r="H121" s="7"/>
      <c r="I121">
        <v>87.3</v>
      </c>
      <c r="J121">
        <v>24.943000000000001</v>
      </c>
      <c r="K121" s="1">
        <f t="shared" si="18"/>
        <v>10</v>
      </c>
      <c r="N121" s="1"/>
      <c r="O121" s="1">
        <v>-0.1</v>
      </c>
      <c r="P121">
        <f t="shared" si="12"/>
        <v>87.987777655185965</v>
      </c>
      <c r="Q121">
        <f t="shared" si="13"/>
        <v>88.486552387351963</v>
      </c>
      <c r="R121" t="e">
        <f t="shared" si="14"/>
        <v>#NUM!</v>
      </c>
      <c r="V121">
        <f t="shared" si="15"/>
        <v>32.442217308179039</v>
      </c>
      <c r="W121">
        <f t="shared" si="16"/>
        <v>29.442217308179046</v>
      </c>
      <c r="X121">
        <f t="shared" si="17"/>
        <v>169.44221730817904</v>
      </c>
    </row>
    <row r="122" spans="1:24">
      <c r="A122">
        <f t="shared" si="10"/>
        <v>2347.67</v>
      </c>
      <c r="B122">
        <v>331.8</v>
      </c>
      <c r="C122" s="1">
        <v>17</v>
      </c>
      <c r="D122" s="1">
        <v>215</v>
      </c>
      <c r="E122" s="1">
        <v>22</v>
      </c>
      <c r="F122" s="1">
        <v>210</v>
      </c>
      <c r="G122" s="1"/>
      <c r="H122" s="7"/>
      <c r="I122">
        <v>87.688000000000002</v>
      </c>
      <c r="J122">
        <v>22.762</v>
      </c>
      <c r="K122" s="1">
        <f t="shared" si="18"/>
        <v>10</v>
      </c>
      <c r="N122" s="1"/>
      <c r="O122" s="1">
        <v>-0.1</v>
      </c>
      <c r="P122">
        <f t="shared" si="12"/>
        <v>88.24707719847332</v>
      </c>
      <c r="Q122">
        <f t="shared" si="13"/>
        <v>88.486552387351963</v>
      </c>
      <c r="R122" t="e">
        <f t="shared" si="14"/>
        <v>#NUM!</v>
      </c>
      <c r="V122">
        <f t="shared" si="15"/>
        <v>33.962624467039632</v>
      </c>
      <c r="W122">
        <f t="shared" si="16"/>
        <v>28.962624467039646</v>
      </c>
      <c r="X122">
        <f t="shared" si="17"/>
        <v>178.9626244670396</v>
      </c>
    </row>
    <row r="123" spans="1:24">
      <c r="A123">
        <f t="shared" si="10"/>
        <v>2348.17</v>
      </c>
      <c r="B123">
        <v>340.8</v>
      </c>
      <c r="C123" s="1">
        <v>17</v>
      </c>
      <c r="D123" s="1">
        <v>205</v>
      </c>
      <c r="E123" s="1">
        <v>22</v>
      </c>
      <c r="F123" s="1">
        <v>197</v>
      </c>
      <c r="G123" s="1"/>
      <c r="H123" s="7"/>
      <c r="I123">
        <v>87.903000000000006</v>
      </c>
      <c r="J123">
        <v>20.135999999999999</v>
      </c>
      <c r="K123" s="1">
        <f t="shared" si="18"/>
        <v>13</v>
      </c>
      <c r="N123" s="1"/>
      <c r="O123" s="1">
        <v>-0.1</v>
      </c>
      <c r="P123">
        <f t="shared" si="12"/>
        <v>88.24707719847332</v>
      </c>
      <c r="Q123">
        <f t="shared" si="13"/>
        <v>88.486552387351963</v>
      </c>
      <c r="R123" t="e">
        <f t="shared" si="14"/>
        <v>#NUM!</v>
      </c>
      <c r="V123">
        <f t="shared" si="15"/>
        <v>33.699404515874306</v>
      </c>
      <c r="W123">
        <f t="shared" si="16"/>
        <v>25.699404515874331</v>
      </c>
      <c r="X123">
        <f t="shared" si="17"/>
        <v>-171.30059548412569</v>
      </c>
    </row>
    <row r="124" spans="1:24">
      <c r="A124">
        <f t="shared" si="10"/>
        <v>2348.67</v>
      </c>
      <c r="B124">
        <v>350.2</v>
      </c>
      <c r="C124" s="1">
        <v>17</v>
      </c>
      <c r="D124" s="1">
        <v>190</v>
      </c>
      <c r="E124" s="1">
        <v>22</v>
      </c>
      <c r="F124" s="1">
        <v>183</v>
      </c>
      <c r="G124" s="1"/>
      <c r="H124" s="7"/>
      <c r="I124">
        <v>88.043999999999997</v>
      </c>
      <c r="J124">
        <v>17.273</v>
      </c>
      <c r="K124" s="1">
        <f t="shared" si="18"/>
        <v>14</v>
      </c>
      <c r="N124" s="1"/>
      <c r="O124" s="1">
        <v>-0.1</v>
      </c>
      <c r="P124">
        <f t="shared" si="12"/>
        <v>88.24707719847332</v>
      </c>
      <c r="Q124">
        <f t="shared" si="13"/>
        <v>88.486552387351963</v>
      </c>
      <c r="R124" t="e">
        <f t="shared" si="14"/>
        <v>#NUM!</v>
      </c>
      <c r="V124">
        <f t="shared" si="15"/>
        <v>28.868930344657144</v>
      </c>
      <c r="W124">
        <f t="shared" si="16"/>
        <v>21.868930344657169</v>
      </c>
      <c r="X124">
        <f t="shared" si="17"/>
        <v>-161.13106965534283</v>
      </c>
    </row>
    <row r="125" spans="1:24">
      <c r="A125">
        <f t="shared" si="10"/>
        <v>2349.17</v>
      </c>
      <c r="B125">
        <v>359.8</v>
      </c>
      <c r="C125" s="1">
        <v>17</v>
      </c>
      <c r="D125" s="1">
        <v>175</v>
      </c>
      <c r="E125" s="1">
        <v>22</v>
      </c>
      <c r="F125" s="1">
        <v>172</v>
      </c>
      <c r="G125" s="1"/>
      <c r="H125" s="7"/>
      <c r="I125">
        <v>88.162000000000006</v>
      </c>
      <c r="J125">
        <v>14.656000000000001</v>
      </c>
      <c r="K125" s="1">
        <f t="shared" si="18"/>
        <v>11</v>
      </c>
      <c r="N125" s="1"/>
      <c r="O125" s="1">
        <v>-0.1</v>
      </c>
      <c r="P125">
        <f t="shared" si="12"/>
        <v>88.24707719847332</v>
      </c>
      <c r="Q125">
        <f t="shared" si="13"/>
        <v>88.486552387351963</v>
      </c>
      <c r="R125" t="e">
        <f t="shared" si="14"/>
        <v>#NUM!</v>
      </c>
      <c r="V125">
        <f t="shared" si="15"/>
        <v>24.254829063414221</v>
      </c>
      <c r="W125">
        <f t="shared" si="16"/>
        <v>21.254829063414391</v>
      </c>
      <c r="X125">
        <f t="shared" si="17"/>
        <v>-150.74517093658571</v>
      </c>
    </row>
    <row r="126" spans="1:24">
      <c r="A126">
        <f t="shared" si="10"/>
        <v>2349.67</v>
      </c>
      <c r="B126">
        <v>369.8</v>
      </c>
      <c r="C126" s="1">
        <v>17</v>
      </c>
      <c r="D126" s="1">
        <v>160</v>
      </c>
      <c r="E126" s="1">
        <v>22</v>
      </c>
      <c r="F126" s="1">
        <v>160</v>
      </c>
      <c r="G126" s="1"/>
      <c r="H126" s="7"/>
      <c r="I126">
        <v>88.346000000000004</v>
      </c>
      <c r="J126">
        <v>13.122</v>
      </c>
      <c r="K126" s="1">
        <f t="shared" si="18"/>
        <v>12</v>
      </c>
      <c r="N126" s="1"/>
      <c r="O126" s="1">
        <v>-0.1</v>
      </c>
      <c r="P126">
        <f t="shared" si="12"/>
        <v>88.24707719847332</v>
      </c>
      <c r="Q126">
        <f t="shared" si="13"/>
        <v>88.486552387351963</v>
      </c>
      <c r="R126" t="e">
        <f t="shared" si="14"/>
        <v>#NUM!</v>
      </c>
      <c r="V126">
        <f t="shared" si="15"/>
        <v>20.073473562119446</v>
      </c>
      <c r="W126">
        <f t="shared" si="16"/>
        <v>20.073473562119446</v>
      </c>
      <c r="X126">
        <f t="shared" si="17"/>
        <v>-139.92652643788045</v>
      </c>
    </row>
    <row r="127" spans="1:24">
      <c r="A127">
        <f t="shared" si="10"/>
        <v>2350.17</v>
      </c>
      <c r="B127">
        <v>379.8</v>
      </c>
      <c r="C127" s="1">
        <v>17</v>
      </c>
      <c r="D127" s="1">
        <v>150</v>
      </c>
      <c r="E127" s="1">
        <v>22</v>
      </c>
      <c r="F127" s="1">
        <v>149</v>
      </c>
      <c r="G127" s="1"/>
      <c r="H127" s="7"/>
      <c r="I127">
        <v>88.6</v>
      </c>
      <c r="J127">
        <v>11.321999999999999</v>
      </c>
      <c r="K127" s="1">
        <f t="shared" si="18"/>
        <v>11</v>
      </c>
      <c r="N127" s="1"/>
      <c r="O127" s="1">
        <v>-0.1</v>
      </c>
      <c r="P127">
        <f t="shared" si="12"/>
        <v>88.24707719847332</v>
      </c>
      <c r="Q127">
        <f t="shared" si="13"/>
        <v>88.486552387351963</v>
      </c>
      <c r="R127" t="e">
        <f t="shared" si="14"/>
        <v>#NUM!</v>
      </c>
      <c r="V127">
        <f t="shared" si="15"/>
        <v>20.892118060824814</v>
      </c>
      <c r="W127">
        <f t="shared" si="16"/>
        <v>19.892118060824657</v>
      </c>
      <c r="X127">
        <f t="shared" si="17"/>
        <v>-129.10788193917529</v>
      </c>
    </row>
    <row r="128" spans="1:24">
      <c r="A128">
        <f t="shared" si="10"/>
        <v>2350.67</v>
      </c>
      <c r="B128">
        <v>390.2</v>
      </c>
      <c r="C128" s="1">
        <v>17</v>
      </c>
      <c r="D128" s="1">
        <v>135</v>
      </c>
      <c r="E128" s="1">
        <v>22</v>
      </c>
      <c r="F128" s="1">
        <v>137</v>
      </c>
      <c r="G128" s="1"/>
      <c r="H128" s="7"/>
      <c r="I128">
        <v>88.734999999999999</v>
      </c>
      <c r="J128">
        <v>8.4549000000000003</v>
      </c>
      <c r="K128" s="1">
        <f t="shared" si="18"/>
        <v>12</v>
      </c>
      <c r="N128" s="1"/>
      <c r="O128" s="1">
        <v>-0.1</v>
      </c>
      <c r="P128">
        <f t="shared" si="12"/>
        <v>88.24707719847332</v>
      </c>
      <c r="Q128">
        <f t="shared" si="13"/>
        <v>88.486552387351963</v>
      </c>
      <c r="R128" t="e">
        <f t="shared" si="14"/>
        <v>#NUM!</v>
      </c>
      <c r="V128">
        <f t="shared" si="15"/>
        <v>17.143508339478188</v>
      </c>
      <c r="W128">
        <f t="shared" si="16"/>
        <v>19.143508339478181</v>
      </c>
      <c r="X128">
        <f t="shared" si="17"/>
        <v>-117.8564916605219</v>
      </c>
    </row>
    <row r="129" spans="1:24">
      <c r="A129">
        <f t="shared" si="10"/>
        <v>2351.17</v>
      </c>
      <c r="B129">
        <v>400.8</v>
      </c>
      <c r="C129" s="1">
        <v>17</v>
      </c>
      <c r="D129" s="1">
        <v>120</v>
      </c>
      <c r="E129" s="1">
        <v>22</v>
      </c>
      <c r="F129" s="1">
        <v>124</v>
      </c>
      <c r="G129" s="1"/>
      <c r="H129" s="7"/>
      <c r="I129">
        <v>88.79</v>
      </c>
      <c r="J129">
        <v>-0.73199999999999998</v>
      </c>
      <c r="K129" s="1">
        <f t="shared" si="18"/>
        <v>13</v>
      </c>
      <c r="N129" s="1"/>
      <c r="O129" s="1">
        <v>-0.1</v>
      </c>
      <c r="P129">
        <f t="shared" si="12"/>
        <v>88.24707719847332</v>
      </c>
      <c r="Q129">
        <f t="shared" si="13"/>
        <v>88.486552387351963</v>
      </c>
      <c r="R129" t="e">
        <f t="shared" si="14"/>
        <v>#NUM!</v>
      </c>
      <c r="V129">
        <f t="shared" si="15"/>
        <v>13.611271508105638</v>
      </c>
      <c r="W129">
        <f t="shared" si="16"/>
        <v>17.611271508105784</v>
      </c>
      <c r="X129">
        <f t="shared" si="17"/>
        <v>-106.38872849189426</v>
      </c>
    </row>
    <row r="130" spans="1:24">
      <c r="A130">
        <f t="shared" si="10"/>
        <v>2351.67</v>
      </c>
      <c r="B130">
        <v>411.8</v>
      </c>
      <c r="C130" s="1">
        <v>17</v>
      </c>
      <c r="D130" s="1">
        <v>110</v>
      </c>
      <c r="E130" s="1">
        <v>22.5</v>
      </c>
      <c r="F130" s="1">
        <v>112</v>
      </c>
      <c r="G130" s="1"/>
      <c r="H130" s="7"/>
      <c r="I130">
        <v>88.846999999999994</v>
      </c>
      <c r="J130">
        <v>-13.74</v>
      </c>
      <c r="K130" s="1">
        <f t="shared" si="18"/>
        <v>12</v>
      </c>
      <c r="N130" s="1"/>
      <c r="O130" s="1">
        <v>-0.1</v>
      </c>
      <c r="P130">
        <f t="shared" si="12"/>
        <v>88.24707719847332</v>
      </c>
      <c r="Q130">
        <f t="shared" si="13"/>
        <v>88.681749133135099</v>
      </c>
      <c r="R130" t="e">
        <f t="shared" si="14"/>
        <v>#NUM!</v>
      </c>
      <c r="V130">
        <f t="shared" si="15"/>
        <v>15.511780456681379</v>
      </c>
      <c r="W130">
        <f t="shared" si="16"/>
        <v>17.511780456681372</v>
      </c>
      <c r="X130">
        <f t="shared" si="17"/>
        <v>-94.48821954331855</v>
      </c>
    </row>
    <row r="131" spans="1:24">
      <c r="A131">
        <f t="shared" si="10"/>
        <v>2352.17</v>
      </c>
      <c r="B131">
        <v>423</v>
      </c>
      <c r="C131" s="1">
        <v>17.5</v>
      </c>
      <c r="D131" s="1">
        <v>100</v>
      </c>
      <c r="E131" s="1">
        <v>22.5</v>
      </c>
      <c r="F131" s="1">
        <v>100</v>
      </c>
      <c r="G131" s="1"/>
      <c r="H131" s="7"/>
      <c r="I131">
        <v>88.808999999999997</v>
      </c>
      <c r="J131">
        <v>-14.34</v>
      </c>
      <c r="K131" s="1">
        <f t="shared" si="18"/>
        <v>12</v>
      </c>
      <c r="N131" s="1"/>
      <c r="O131" s="1">
        <v>-0.115</v>
      </c>
      <c r="P131">
        <f t="shared" si="12"/>
        <v>88.51385974463372</v>
      </c>
      <c r="Q131">
        <f t="shared" si="13"/>
        <v>88.6967491331351</v>
      </c>
      <c r="R131" t="e">
        <f t="shared" si="14"/>
        <v>#NUM!</v>
      </c>
      <c r="V131">
        <f t="shared" si="15"/>
        <v>17.628662295231354</v>
      </c>
      <c r="W131">
        <f t="shared" si="16"/>
        <v>17.628662295231354</v>
      </c>
      <c r="X131">
        <f t="shared" si="17"/>
        <v>-82.371337704768692</v>
      </c>
    </row>
    <row r="132" spans="1:24">
      <c r="A132">
        <f t="shared" si="10"/>
        <v>2352.67</v>
      </c>
      <c r="B132">
        <v>434.8</v>
      </c>
      <c r="C132" s="1">
        <v>17.5</v>
      </c>
      <c r="D132" s="1">
        <v>85</v>
      </c>
      <c r="E132" s="1">
        <v>22.5</v>
      </c>
      <c r="F132" s="1">
        <v>86</v>
      </c>
      <c r="G132" s="1"/>
      <c r="H132" s="7"/>
      <c r="I132">
        <v>88.722999999999999</v>
      </c>
      <c r="J132">
        <v>-7.8049999999999997</v>
      </c>
      <c r="K132" s="1">
        <f t="shared" si="18"/>
        <v>14</v>
      </c>
      <c r="N132" s="1"/>
      <c r="O132" s="1">
        <v>-0.17400000000000004</v>
      </c>
      <c r="P132">
        <f t="shared" si="12"/>
        <v>88.572859744633732</v>
      </c>
      <c r="Q132">
        <f t="shared" si="13"/>
        <v>88.755749133135112</v>
      </c>
      <c r="R132" t="e">
        <f t="shared" si="14"/>
        <v>#NUM!</v>
      </c>
      <c r="V132">
        <f t="shared" si="15"/>
        <v>15.394662803703412</v>
      </c>
      <c r="W132">
        <f t="shared" si="16"/>
        <v>16.394662803703568</v>
      </c>
      <c r="X132">
        <f t="shared" si="17"/>
        <v>-69.605337196296531</v>
      </c>
    </row>
    <row r="133" spans="1:24">
      <c r="A133">
        <f t="shared" si="10"/>
        <v>2353.17</v>
      </c>
      <c r="B133">
        <v>446.6</v>
      </c>
      <c r="C133" s="1">
        <v>17.5</v>
      </c>
      <c r="D133" s="1">
        <v>70</v>
      </c>
      <c r="E133" s="1">
        <v>23</v>
      </c>
      <c r="F133" s="1">
        <v>73</v>
      </c>
      <c r="G133" s="1"/>
      <c r="H133" s="7"/>
      <c r="I133">
        <v>88.581999999999994</v>
      </c>
      <c r="J133">
        <v>-6.375</v>
      </c>
      <c r="K133" s="1">
        <f t="shared" si="18"/>
        <v>13</v>
      </c>
      <c r="N133" s="1"/>
      <c r="O133" s="1">
        <v>-0.2</v>
      </c>
      <c r="P133">
        <f t="shared" si="12"/>
        <v>88.598859744633728</v>
      </c>
      <c r="Q133">
        <f t="shared" si="13"/>
        <v>88.972655491259715</v>
      </c>
      <c r="R133" t="e">
        <f t="shared" si="14"/>
        <v>#NUM!</v>
      </c>
      <c r="V133">
        <f t="shared" si="15"/>
        <v>13.160663312175629</v>
      </c>
      <c r="W133">
        <f t="shared" si="16"/>
        <v>16.160663312175778</v>
      </c>
      <c r="X133">
        <f t="shared" si="17"/>
        <v>-56.839336687824286</v>
      </c>
    </row>
    <row r="134" spans="1:24">
      <c r="A134">
        <f t="shared" si="10"/>
        <v>2353.67</v>
      </c>
      <c r="B134">
        <v>458.8</v>
      </c>
      <c r="C134" s="1">
        <v>17.5</v>
      </c>
      <c r="D134" s="1">
        <v>58</v>
      </c>
      <c r="E134" s="1">
        <v>23.5</v>
      </c>
      <c r="F134" s="1">
        <v>60</v>
      </c>
      <c r="G134" s="1"/>
      <c r="H134" s="7"/>
      <c r="I134">
        <v>88.447999999999993</v>
      </c>
      <c r="J134">
        <v>-7.5789999999999997</v>
      </c>
      <c r="K134" s="1">
        <f t="shared" si="18"/>
        <v>13</v>
      </c>
      <c r="N134" s="1"/>
      <c r="O134" s="1">
        <v>-0.2</v>
      </c>
      <c r="P134">
        <f t="shared" si="12"/>
        <v>88.598859744633728</v>
      </c>
      <c r="Q134">
        <f t="shared" si="13"/>
        <v>89.15945601634256</v>
      </c>
      <c r="R134" t="e">
        <f t="shared" si="14"/>
        <v>#NUM!</v>
      </c>
      <c r="V134">
        <f t="shared" si="15"/>
        <v>14.359409600596145</v>
      </c>
      <c r="W134">
        <f t="shared" si="16"/>
        <v>16.359409600596138</v>
      </c>
      <c r="X134">
        <f t="shared" si="17"/>
        <v>-43.640590399403969</v>
      </c>
    </row>
    <row r="135" spans="1:24">
      <c r="A135">
        <f t="shared" si="10"/>
        <v>2354.17</v>
      </c>
      <c r="B135">
        <v>471.4</v>
      </c>
      <c r="C135" s="1">
        <v>17.5</v>
      </c>
      <c r="D135" s="1">
        <v>45</v>
      </c>
      <c r="E135" s="1">
        <v>24</v>
      </c>
      <c r="F135" s="1">
        <v>46</v>
      </c>
      <c r="G135" s="1"/>
      <c r="H135" s="7"/>
      <c r="I135">
        <v>88.391000000000005</v>
      </c>
      <c r="J135">
        <v>-9.3550000000000004</v>
      </c>
      <c r="K135" s="1">
        <f t="shared" si="18"/>
        <v>14</v>
      </c>
      <c r="N135" s="1"/>
      <c r="O135" s="1">
        <v>-0.2</v>
      </c>
      <c r="P135">
        <f t="shared" si="12"/>
        <v>88.598859744633728</v>
      </c>
      <c r="Q135">
        <f t="shared" si="13"/>
        <v>89.342323605139953</v>
      </c>
      <c r="R135" t="e">
        <f t="shared" si="14"/>
        <v>#NUM!</v>
      </c>
      <c r="V135">
        <f t="shared" si="15"/>
        <v>14.990901668964653</v>
      </c>
      <c r="W135">
        <f t="shared" si="16"/>
        <v>15.99090166896465</v>
      </c>
      <c r="X135">
        <f t="shared" si="17"/>
        <v>-30.009098331035347</v>
      </c>
    </row>
    <row r="136" spans="1:24">
      <c r="A136">
        <f t="shared" si="10"/>
        <v>2354.67</v>
      </c>
      <c r="B136">
        <v>484.2</v>
      </c>
      <c r="C136" s="1">
        <v>18</v>
      </c>
      <c r="D136" s="1">
        <v>28</v>
      </c>
      <c r="E136" s="1">
        <v>24</v>
      </c>
      <c r="F136" s="1">
        <v>31</v>
      </c>
      <c r="G136" s="1"/>
      <c r="H136" s="7"/>
      <c r="I136">
        <v>88.283000000000001</v>
      </c>
      <c r="J136">
        <v>-11.86</v>
      </c>
      <c r="K136" s="1">
        <f t="shared" si="18"/>
        <v>15</v>
      </c>
      <c r="N136" s="1"/>
      <c r="O136" s="1">
        <v>-0.2</v>
      </c>
      <c r="P136">
        <f t="shared" si="12"/>
        <v>88.843548872973969</v>
      </c>
      <c r="Q136">
        <f t="shared" si="13"/>
        <v>89.342323605139953</v>
      </c>
      <c r="R136" t="e">
        <f t="shared" si="14"/>
        <v>#NUM!</v>
      </c>
      <c r="V136">
        <f t="shared" si="15"/>
        <v>11.838766627307251</v>
      </c>
      <c r="W136">
        <f t="shared" si="16"/>
        <v>14.8387666273074</v>
      </c>
      <c r="X136">
        <f t="shared" si="17"/>
        <v>-16.161233372692649</v>
      </c>
    </row>
    <row r="137" spans="1:24">
      <c r="A137">
        <f t="shared" si="10"/>
        <v>2355.17</v>
      </c>
      <c r="B137">
        <v>497.6</v>
      </c>
      <c r="C137" s="1">
        <v>18.5</v>
      </c>
      <c r="D137" s="1">
        <v>10</v>
      </c>
      <c r="E137" s="1">
        <v>24.5</v>
      </c>
      <c r="F137" s="1">
        <v>17</v>
      </c>
      <c r="G137" s="1"/>
      <c r="H137" s="7"/>
      <c r="I137">
        <v>88.043999999999997</v>
      </c>
      <c r="J137">
        <v>-14.33</v>
      </c>
      <c r="K137" s="1">
        <f t="shared" si="18"/>
        <v>14</v>
      </c>
      <c r="N137" s="1"/>
      <c r="O137" s="1">
        <v>-0.2</v>
      </c>
      <c r="P137">
        <f t="shared" si="12"/>
        <v>89.081533338968114</v>
      </c>
      <c r="Q137">
        <f t="shared" si="13"/>
        <v>89.521420458198506</v>
      </c>
      <c r="R137" t="e">
        <f t="shared" si="14"/>
        <v>#NUM!</v>
      </c>
      <c r="V137">
        <f t="shared" si="15"/>
        <v>8.3357502555722363</v>
      </c>
      <c r="W137">
        <f t="shared" si="16"/>
        <v>15.335750255572371</v>
      </c>
      <c r="X137">
        <f t="shared" si="17"/>
        <v>-1.6642497444276483</v>
      </c>
    </row>
    <row r="138" spans="1:24">
      <c r="A138">
        <f t="shared" si="10"/>
        <v>2355.67</v>
      </c>
      <c r="B138">
        <v>511.2</v>
      </c>
      <c r="C138" s="1">
        <v>18.5</v>
      </c>
      <c r="D138" s="1">
        <v>355</v>
      </c>
      <c r="E138" s="1">
        <v>25</v>
      </c>
      <c r="F138" s="1">
        <v>2</v>
      </c>
      <c r="G138" s="1"/>
      <c r="H138" s="7"/>
      <c r="I138">
        <v>87.65</v>
      </c>
      <c r="J138">
        <v>-15.53</v>
      </c>
      <c r="K138" s="1">
        <f t="shared" si="18"/>
        <v>15</v>
      </c>
      <c r="N138" s="1"/>
      <c r="O138" s="1">
        <v>-0.2</v>
      </c>
      <c r="P138">
        <f t="shared" si="12"/>
        <v>89.081533338968114</v>
      </c>
      <c r="Q138">
        <f t="shared" si="13"/>
        <v>89.696898944348604</v>
      </c>
      <c r="R138" t="e">
        <f t="shared" si="14"/>
        <v>#NUM!</v>
      </c>
      <c r="V138">
        <f t="shared" si="15"/>
        <v>8.0491067738114452</v>
      </c>
      <c r="W138">
        <f t="shared" si="16"/>
        <v>15.04910677381142</v>
      </c>
      <c r="X138">
        <f t="shared" si="17"/>
        <v>13.049106773811427</v>
      </c>
    </row>
    <row r="139" spans="1:24">
      <c r="A139">
        <f t="shared" si="10"/>
        <v>2356.17</v>
      </c>
      <c r="B139">
        <v>525.20000000000005</v>
      </c>
      <c r="C139" s="1">
        <v>19</v>
      </c>
      <c r="D139" s="1">
        <v>340</v>
      </c>
      <c r="E139" s="1">
        <v>25.5</v>
      </c>
      <c r="F139" s="1">
        <v>345</v>
      </c>
      <c r="G139" s="1"/>
      <c r="H139" s="7"/>
      <c r="I139">
        <v>87.352999999999994</v>
      </c>
      <c r="J139">
        <v>-15.01</v>
      </c>
      <c r="K139" s="1">
        <f t="shared" si="18"/>
        <v>-343</v>
      </c>
      <c r="N139" s="1"/>
      <c r="O139" s="1">
        <v>-0.2</v>
      </c>
      <c r="P139">
        <f t="shared" si="12"/>
        <v>89.313170789964417</v>
      </c>
      <c r="Q139">
        <f t="shared" si="13"/>
        <v>89.868902379586942</v>
      </c>
      <c r="R139" t="e">
        <f t="shared" si="14"/>
        <v>#NUM!</v>
      </c>
      <c r="V139">
        <f t="shared" si="15"/>
        <v>8.1952090719988036</v>
      </c>
      <c r="W139">
        <f t="shared" si="16"/>
        <v>13.195209071998786</v>
      </c>
      <c r="X139">
        <f t="shared" si="17"/>
        <v>28.195209071998732</v>
      </c>
    </row>
    <row r="140" spans="1:24">
      <c r="A140">
        <f t="shared" si="10"/>
        <v>2356.67</v>
      </c>
      <c r="B140">
        <v>539.6</v>
      </c>
      <c r="C140" s="1">
        <v>19.5</v>
      </c>
      <c r="D140" s="1">
        <v>325</v>
      </c>
      <c r="E140" s="1">
        <v>25.5</v>
      </c>
      <c r="F140" s="1">
        <v>327</v>
      </c>
      <c r="G140" s="1"/>
      <c r="H140" s="7"/>
      <c r="I140">
        <v>87.239000000000004</v>
      </c>
      <c r="J140">
        <v>-13.21</v>
      </c>
      <c r="K140" s="1">
        <f t="shared" si="18"/>
        <v>18</v>
      </c>
      <c r="N140" s="1"/>
      <c r="O140" s="1">
        <v>-0.2</v>
      </c>
      <c r="P140">
        <f t="shared" si="12"/>
        <v>89.538790998158206</v>
      </c>
      <c r="Q140">
        <f t="shared" si="13"/>
        <v>89.868902379586942</v>
      </c>
      <c r="R140" t="e">
        <f t="shared" si="14"/>
        <v>#NUM!</v>
      </c>
      <c r="V140">
        <f t="shared" si="15"/>
        <v>8.7740571501343112</v>
      </c>
      <c r="W140">
        <f t="shared" si="16"/>
        <v>10.774057150134304</v>
      </c>
      <c r="X140">
        <f t="shared" si="17"/>
        <v>43.774057150134347</v>
      </c>
    </row>
    <row r="141" spans="1:24">
      <c r="A141">
        <f t="shared" si="10"/>
        <v>2357.17</v>
      </c>
      <c r="B141">
        <v>554.4</v>
      </c>
      <c r="C141" s="1">
        <v>20</v>
      </c>
      <c r="D141" s="1">
        <v>310</v>
      </c>
      <c r="E141" s="1">
        <v>26.5</v>
      </c>
      <c r="F141" s="1">
        <f>43/60*180+180</f>
        <v>309</v>
      </c>
      <c r="G141" s="1"/>
      <c r="H141" s="7"/>
      <c r="I141">
        <v>87.316000000000003</v>
      </c>
      <c r="J141">
        <v>-11.05</v>
      </c>
      <c r="K141" s="1">
        <f t="shared" si="18"/>
        <v>18</v>
      </c>
      <c r="N141" s="1"/>
      <c r="O141" s="1">
        <v>-0.2</v>
      </c>
      <c r="P141">
        <f t="shared" si="12"/>
        <v>89.758698684187465</v>
      </c>
      <c r="Q141">
        <f t="shared" si="13"/>
        <v>90.203016249644008</v>
      </c>
      <c r="R141" t="e">
        <f t="shared" si="14"/>
        <v>#NUM!</v>
      </c>
      <c r="V141">
        <f t="shared" si="15"/>
        <v>9.7856510082179682</v>
      </c>
      <c r="W141">
        <f t="shared" si="16"/>
        <v>8.7856510082179717</v>
      </c>
      <c r="X141">
        <f t="shared" si="17"/>
        <v>59.78565100821811</v>
      </c>
    </row>
    <row r="142" spans="1:24">
      <c r="A142">
        <f t="shared" si="10"/>
        <v>2357.67</v>
      </c>
      <c r="B142">
        <v>569.6</v>
      </c>
      <c r="C142" s="1">
        <v>20</v>
      </c>
      <c r="D142" s="1">
        <v>290</v>
      </c>
      <c r="E142" s="1">
        <v>27</v>
      </c>
      <c r="F142" s="1">
        <v>293</v>
      </c>
      <c r="G142" s="1"/>
      <c r="H142" s="7"/>
      <c r="I142">
        <v>87.525999999999996</v>
      </c>
      <c r="J142">
        <v>-9.74</v>
      </c>
      <c r="K142" s="1">
        <f t="shared" si="18"/>
        <v>16</v>
      </c>
      <c r="N142" s="1"/>
      <c r="O142" s="1">
        <v>-0.2</v>
      </c>
      <c r="P142">
        <f t="shared" si="12"/>
        <v>89.758698684187465</v>
      </c>
      <c r="Q142">
        <f t="shared" si="13"/>
        <v>90.365374054087582</v>
      </c>
      <c r="R142" t="e">
        <f t="shared" si="14"/>
        <v>#NUM!</v>
      </c>
      <c r="V142">
        <f t="shared" si="15"/>
        <v>6.2299906462499521</v>
      </c>
      <c r="W142">
        <f t="shared" si="16"/>
        <v>9.2299906462501013</v>
      </c>
      <c r="X142">
        <f t="shared" si="17"/>
        <v>76.22999064625003</v>
      </c>
    </row>
    <row r="143" spans="1:24">
      <c r="A143">
        <f t="shared" si="10"/>
        <v>2358.17</v>
      </c>
      <c r="B143">
        <v>585</v>
      </c>
      <c r="C143" s="1">
        <v>21</v>
      </c>
      <c r="D143" s="1">
        <v>270</v>
      </c>
      <c r="E143" s="1">
        <v>28</v>
      </c>
      <c r="F143" s="1">
        <v>275</v>
      </c>
      <c r="G143" s="1"/>
      <c r="H143" s="7"/>
      <c r="I143">
        <v>87.935000000000002</v>
      </c>
      <c r="J143">
        <v>-10.61</v>
      </c>
      <c r="K143" s="1">
        <f t="shared" si="18"/>
        <v>18</v>
      </c>
      <c r="N143" s="1"/>
      <c r="O143" s="1">
        <v>-0.2</v>
      </c>
      <c r="P143">
        <f t="shared" si="12"/>
        <v>90.18248466558623</v>
      </c>
      <c r="Q143">
        <f t="shared" si="13"/>
        <v>90.681259397752243</v>
      </c>
      <c r="R143" t="e">
        <f t="shared" si="14"/>
        <v>#NUM!</v>
      </c>
      <c r="V143">
        <f t="shared" si="15"/>
        <v>2.8907031742560108</v>
      </c>
      <c r="W143">
        <f t="shared" si="16"/>
        <v>7.8907031742561529</v>
      </c>
      <c r="X143">
        <f t="shared" si="17"/>
        <v>92.890703174256004</v>
      </c>
    </row>
    <row r="144" spans="1:24">
      <c r="A144">
        <f t="shared" si="10"/>
        <v>2358.67</v>
      </c>
      <c r="B144">
        <v>601</v>
      </c>
      <c r="C144" s="1">
        <v>21</v>
      </c>
      <c r="D144" s="1">
        <v>250</v>
      </c>
      <c r="E144" s="1">
        <v>28.5</v>
      </c>
      <c r="F144" s="1">
        <v>257</v>
      </c>
      <c r="G144" s="1"/>
      <c r="H144" s="7"/>
      <c r="I144">
        <v>88.311000000000007</v>
      </c>
      <c r="J144">
        <v>-13.16</v>
      </c>
      <c r="K144" s="1">
        <f t="shared" si="18"/>
        <v>18</v>
      </c>
      <c r="N144" s="1"/>
      <c r="O144" s="1">
        <v>-0.19750000000000001</v>
      </c>
      <c r="P144">
        <f t="shared" si="12"/>
        <v>90.179984665586232</v>
      </c>
      <c r="Q144">
        <f t="shared" si="13"/>
        <v>90.83249597107806</v>
      </c>
      <c r="R144" t="e">
        <f t="shared" si="14"/>
        <v>#NUM!</v>
      </c>
      <c r="V144">
        <f t="shared" si="15"/>
        <v>0.20053437218445325</v>
      </c>
      <c r="W144">
        <f t="shared" si="16"/>
        <v>7.2005343721844284</v>
      </c>
      <c r="X144">
        <f t="shared" si="17"/>
        <v>110.20053437218453</v>
      </c>
    </row>
    <row r="145" spans="1:24">
      <c r="A145">
        <f t="shared" si="10"/>
        <v>2359.17</v>
      </c>
      <c r="B145">
        <v>617.6</v>
      </c>
      <c r="C145" s="1">
        <v>21</v>
      </c>
      <c r="D145" s="1">
        <v>230</v>
      </c>
      <c r="E145" s="1">
        <v>29</v>
      </c>
      <c r="F145" s="1">
        <v>237</v>
      </c>
      <c r="G145" s="1"/>
      <c r="H145" s="7"/>
      <c r="I145">
        <v>88.552000000000007</v>
      </c>
      <c r="J145">
        <v>-15.89</v>
      </c>
      <c r="K145" s="1">
        <f t="shared" si="18"/>
        <v>20</v>
      </c>
      <c r="N145" s="1"/>
      <c r="O145" s="1">
        <v>-0.15599999999999994</v>
      </c>
      <c r="P145">
        <f t="shared" si="12"/>
        <v>90.138484665586233</v>
      </c>
      <c r="Q145">
        <f t="shared" si="13"/>
        <v>90.942058728886963</v>
      </c>
      <c r="R145" t="e">
        <f t="shared" si="14"/>
        <v>#NUM!</v>
      </c>
      <c r="V145">
        <f t="shared" si="15"/>
        <v>-1.8405157599648803</v>
      </c>
      <c r="W145">
        <f t="shared" si="16"/>
        <v>5.1594842400350949</v>
      </c>
      <c r="X145">
        <f t="shared" si="17"/>
        <v>128.15948424003514</v>
      </c>
    </row>
    <row r="146" spans="1:24">
      <c r="A146">
        <f t="shared" si="10"/>
        <v>2359.67</v>
      </c>
      <c r="B146">
        <v>634.6</v>
      </c>
      <c r="C146" s="1">
        <v>21</v>
      </c>
      <c r="D146" s="1">
        <v>210</v>
      </c>
      <c r="E146" s="1">
        <v>29.5</v>
      </c>
      <c r="F146" s="1">
        <v>216</v>
      </c>
      <c r="G146" s="1"/>
      <c r="H146" s="7"/>
      <c r="I146">
        <v>88.617000000000004</v>
      </c>
      <c r="J146">
        <v>-17.02</v>
      </c>
      <c r="K146" s="1">
        <f t="shared" si="18"/>
        <v>21</v>
      </c>
      <c r="N146" s="1"/>
      <c r="O146" s="1">
        <v>-0.11349999999999995</v>
      </c>
      <c r="P146">
        <f t="shared" si="12"/>
        <v>90.095984665586229</v>
      </c>
      <c r="Q146">
        <f t="shared" si="13"/>
        <v>91.048039090471107</v>
      </c>
      <c r="R146" t="e">
        <f t="shared" si="14"/>
        <v>#NUM!</v>
      </c>
      <c r="V146">
        <f t="shared" si="15"/>
        <v>-3.4488201121659046</v>
      </c>
      <c r="W146">
        <f t="shared" si="16"/>
        <v>2.5511798878340741</v>
      </c>
      <c r="X146">
        <f t="shared" si="17"/>
        <v>146.55117988783405</v>
      </c>
    </row>
    <row r="147" spans="1:24">
      <c r="A147">
        <f t="shared" si="10"/>
        <v>2360.17</v>
      </c>
      <c r="B147">
        <v>652</v>
      </c>
      <c r="C147" s="1">
        <v>21</v>
      </c>
      <c r="D147" s="1">
        <v>190</v>
      </c>
      <c r="E147" s="1">
        <v>30</v>
      </c>
      <c r="F147" s="1">
        <v>194</v>
      </c>
      <c r="G147" s="1"/>
      <c r="H147" s="7"/>
      <c r="I147">
        <v>88.593000000000004</v>
      </c>
      <c r="J147">
        <v>-17.760000000000002</v>
      </c>
      <c r="K147" s="1">
        <f t="shared" si="18"/>
        <v>22</v>
      </c>
      <c r="N147" s="1"/>
      <c r="O147" s="1">
        <v>-0.1</v>
      </c>
      <c r="P147">
        <f t="shared" si="12"/>
        <v>90.082484665586222</v>
      </c>
      <c r="Q147">
        <f t="shared" si="13"/>
        <v>91.180523865301097</v>
      </c>
      <c r="R147" t="e">
        <f t="shared" si="14"/>
        <v>#NUM!</v>
      </c>
      <c r="V147">
        <f t="shared" si="15"/>
        <v>-4.6243786844189394</v>
      </c>
      <c r="W147">
        <f t="shared" si="16"/>
        <v>-0.62437868441895361</v>
      </c>
      <c r="X147">
        <f t="shared" si="17"/>
        <v>165.3756213155811</v>
      </c>
    </row>
    <row r="148" spans="1:24">
      <c r="A148">
        <f t="shared" ref="A148:A211" si="19">+A147+0.5</f>
        <v>2360.67</v>
      </c>
      <c r="B148">
        <v>669.8</v>
      </c>
      <c r="C148" s="1">
        <v>21.5</v>
      </c>
      <c r="D148" s="1">
        <v>170</v>
      </c>
      <c r="E148" s="1">
        <v>30.5</v>
      </c>
      <c r="F148" s="1">
        <v>172</v>
      </c>
      <c r="G148" s="1"/>
      <c r="H148" s="7"/>
      <c r="I148">
        <v>88.516000000000005</v>
      </c>
      <c r="J148">
        <v>-19.309999999999999</v>
      </c>
      <c r="K148" s="1">
        <f t="shared" si="18"/>
        <v>22</v>
      </c>
      <c r="N148" s="1"/>
      <c r="O148" s="1">
        <v>-0.1</v>
      </c>
      <c r="P148">
        <f t="shared" si="12"/>
        <v>90.286867969219955</v>
      </c>
      <c r="Q148">
        <f t="shared" si="13"/>
        <v>91.324095557843563</v>
      </c>
      <c r="R148" t="e">
        <f t="shared" si="14"/>
        <v>#NUM!</v>
      </c>
      <c r="V148">
        <f t="shared" si="15"/>
        <v>-5.3671914767235052</v>
      </c>
      <c r="W148">
        <f t="shared" si="16"/>
        <v>-3.3671914767235123</v>
      </c>
      <c r="X148">
        <f t="shared" si="17"/>
        <v>-175.36719147672355</v>
      </c>
    </row>
    <row r="149" spans="1:24">
      <c r="A149">
        <f t="shared" si="19"/>
        <v>2361.17</v>
      </c>
      <c r="B149">
        <v>688</v>
      </c>
      <c r="C149" s="1">
        <v>21.5</v>
      </c>
      <c r="D149" s="1">
        <v>150</v>
      </c>
      <c r="E149" s="1">
        <v>31</v>
      </c>
      <c r="F149" s="1">
        <v>150</v>
      </c>
      <c r="G149" s="1"/>
      <c r="H149" s="7"/>
      <c r="I149">
        <v>88.432000000000002</v>
      </c>
      <c r="J149">
        <v>-21.24</v>
      </c>
      <c r="K149" s="1">
        <f t="shared" si="18"/>
        <v>22</v>
      </c>
      <c r="N149" s="1"/>
      <c r="O149" s="1">
        <v>-0.08</v>
      </c>
      <c r="P149">
        <f t="shared" si="12"/>
        <v>90.266867969219959</v>
      </c>
      <c r="Q149">
        <f t="shared" si="13"/>
        <v>91.44533264759329</v>
      </c>
      <c r="R149" t="e">
        <f t="shared" si="14"/>
        <v>#NUM!</v>
      </c>
      <c r="V149">
        <f t="shared" si="15"/>
        <v>-5.6772584890800815</v>
      </c>
      <c r="W149">
        <f t="shared" si="16"/>
        <v>-5.6772584890800815</v>
      </c>
      <c r="X149">
        <f t="shared" si="17"/>
        <v>-155.67725848908003</v>
      </c>
    </row>
    <row r="150" spans="1:24">
      <c r="A150">
        <f t="shared" si="19"/>
        <v>2361.67</v>
      </c>
      <c r="B150">
        <v>707</v>
      </c>
      <c r="C150" s="1">
        <v>21.5</v>
      </c>
      <c r="D150" s="1">
        <v>125</v>
      </c>
      <c r="E150" s="1">
        <v>31</v>
      </c>
      <c r="F150" s="1">
        <v>127</v>
      </c>
      <c r="G150" s="1"/>
      <c r="H150" s="7"/>
      <c r="I150">
        <v>88.388000000000005</v>
      </c>
      <c r="J150">
        <v>-23.18</v>
      </c>
      <c r="K150" s="1">
        <f t="shared" si="18"/>
        <v>23</v>
      </c>
      <c r="N150" s="1"/>
      <c r="O150" s="1">
        <v>-3.2500000000000001E-2</v>
      </c>
      <c r="P150">
        <f t="shared" si="12"/>
        <v>90.219367969219959</v>
      </c>
      <c r="Q150">
        <f t="shared" si="13"/>
        <v>91.39783264759329</v>
      </c>
      <c r="R150" t="e">
        <f t="shared" si="14"/>
        <v>#NUM!</v>
      </c>
      <c r="V150">
        <f t="shared" si="15"/>
        <v>-10.121833941540022</v>
      </c>
      <c r="W150">
        <f t="shared" si="16"/>
        <v>-8.1218339415400287</v>
      </c>
      <c r="X150">
        <f t="shared" si="17"/>
        <v>-135.12183394154005</v>
      </c>
    </row>
    <row r="151" spans="1:24">
      <c r="A151">
        <f t="shared" si="19"/>
        <v>2362.17</v>
      </c>
      <c r="B151">
        <v>726.4</v>
      </c>
      <c r="C151" s="1">
        <v>21.5</v>
      </c>
      <c r="D151" s="1">
        <v>100</v>
      </c>
      <c r="E151" s="1">
        <v>31</v>
      </c>
      <c r="F151" s="1">
        <v>104</v>
      </c>
      <c r="G151" s="1"/>
      <c r="H151" s="7"/>
      <c r="I151">
        <v>88.322000000000003</v>
      </c>
      <c r="J151">
        <v>-23.67</v>
      </c>
      <c r="K151" s="1">
        <f t="shared" si="18"/>
        <v>23</v>
      </c>
      <c r="N151" s="1"/>
      <c r="O151" s="1">
        <v>1.2799999999999957E-2</v>
      </c>
      <c r="P151">
        <f t="shared" si="12"/>
        <v>90.174067969219962</v>
      </c>
      <c r="Q151">
        <f t="shared" si="13"/>
        <v>91.352532647593293</v>
      </c>
      <c r="R151" t="e">
        <f t="shared" si="14"/>
        <v>#NUM!</v>
      </c>
      <c r="V151">
        <f t="shared" si="15"/>
        <v>-14.133663614051972</v>
      </c>
      <c r="W151">
        <f t="shared" si="16"/>
        <v>-10.133663614051986</v>
      </c>
      <c r="X151">
        <f t="shared" si="17"/>
        <v>-114.13366361405194</v>
      </c>
    </row>
    <row r="152" spans="1:24">
      <c r="A152">
        <f t="shared" si="19"/>
        <v>2362.67</v>
      </c>
      <c r="B152">
        <v>746.2</v>
      </c>
      <c r="C152" s="1">
        <v>21.5</v>
      </c>
      <c r="D152" s="1">
        <v>75</v>
      </c>
      <c r="E152" s="1">
        <v>31</v>
      </c>
      <c r="F152" s="1">
        <v>81</v>
      </c>
      <c r="G152" s="1"/>
      <c r="H152" s="7"/>
      <c r="I152">
        <v>88.418999999999997</v>
      </c>
      <c r="J152">
        <v>-23.3</v>
      </c>
      <c r="K152" s="1">
        <f t="shared" si="18"/>
        <v>23</v>
      </c>
      <c r="N152" s="1"/>
      <c r="O152" s="1">
        <v>5.2400000000000092E-2</v>
      </c>
      <c r="P152">
        <f t="shared" si="12"/>
        <v>90.134467969219955</v>
      </c>
      <c r="Q152">
        <f t="shared" si="13"/>
        <v>91.312932647593286</v>
      </c>
      <c r="R152" t="e">
        <f t="shared" si="14"/>
        <v>#NUM!</v>
      </c>
      <c r="V152">
        <f t="shared" si="15"/>
        <v>-17.712747506615454</v>
      </c>
      <c r="W152">
        <f t="shared" si="16"/>
        <v>-11.712747506615475</v>
      </c>
      <c r="X152">
        <f t="shared" si="17"/>
        <v>-92.7127475066155</v>
      </c>
    </row>
    <row r="153" spans="1:24">
      <c r="A153">
        <f t="shared" si="19"/>
        <v>2363.17</v>
      </c>
      <c r="B153">
        <v>766.6</v>
      </c>
      <c r="C153" s="1">
        <v>21.5</v>
      </c>
      <c r="D153" s="1">
        <v>50</v>
      </c>
      <c r="E153" s="1">
        <v>30.5</v>
      </c>
      <c r="F153" s="1">
        <v>58</v>
      </c>
      <c r="G153" s="1"/>
      <c r="H153" s="7"/>
      <c r="I153">
        <v>88.635999999999996</v>
      </c>
      <c r="J153">
        <v>-23.89</v>
      </c>
      <c r="K153" s="1">
        <f t="shared" si="18"/>
        <v>23</v>
      </c>
      <c r="N153" s="1"/>
      <c r="O153" s="1">
        <v>9.3200000000000061E-2</v>
      </c>
      <c r="P153">
        <f t="shared" si="12"/>
        <v>90.093667969219965</v>
      </c>
      <c r="Q153">
        <f t="shared" si="13"/>
        <v>91.130895557843573</v>
      </c>
      <c r="R153" t="e">
        <f t="shared" si="14"/>
        <v>#NUM!</v>
      </c>
      <c r="V153">
        <f t="shared" si="15"/>
        <v>-20.642712729256871</v>
      </c>
      <c r="W153">
        <f t="shared" si="16"/>
        <v>-12.6427127292569</v>
      </c>
      <c r="X153">
        <f t="shared" si="17"/>
        <v>-70.642712729256857</v>
      </c>
    </row>
    <row r="154" spans="1:24">
      <c r="A154">
        <f t="shared" si="19"/>
        <v>2363.67</v>
      </c>
      <c r="B154">
        <v>787.6</v>
      </c>
      <c r="C154" s="1">
        <v>22</v>
      </c>
      <c r="D154" s="1">
        <v>25</v>
      </c>
      <c r="E154" s="1">
        <v>30.5</v>
      </c>
      <c r="F154" s="1">
        <v>32</v>
      </c>
      <c r="G154" s="1"/>
      <c r="H154" s="7"/>
      <c r="I154">
        <v>88.882999999999996</v>
      </c>
      <c r="J154">
        <v>-24.79</v>
      </c>
      <c r="K154" s="1">
        <f t="shared" si="18"/>
        <v>26</v>
      </c>
      <c r="N154" s="1"/>
      <c r="O154" s="1">
        <v>0.1</v>
      </c>
      <c r="P154">
        <f t="shared" si="12"/>
        <v>90.286552387351975</v>
      </c>
      <c r="Q154">
        <f t="shared" si="13"/>
        <v>91.124095557843575</v>
      </c>
      <c r="R154" t="e">
        <f t="shared" si="14"/>
        <v>#NUM!</v>
      </c>
      <c r="V154">
        <f t="shared" si="15"/>
        <v>-22.923559281975745</v>
      </c>
      <c r="W154">
        <f t="shared" si="16"/>
        <v>-15.92355928197577</v>
      </c>
      <c r="X154">
        <f t="shared" si="17"/>
        <v>-47.923559281975812</v>
      </c>
    </row>
    <row r="155" spans="1:24">
      <c r="A155">
        <f t="shared" si="19"/>
        <v>2364.17</v>
      </c>
      <c r="B155">
        <v>809.2</v>
      </c>
      <c r="C155" s="1">
        <v>22</v>
      </c>
      <c r="D155" s="1">
        <v>0</v>
      </c>
      <c r="E155" s="1">
        <v>30</v>
      </c>
      <c r="F155" s="1">
        <v>6</v>
      </c>
      <c r="G155" s="1"/>
      <c r="H155" s="7"/>
      <c r="I155">
        <v>89.141000000000005</v>
      </c>
      <c r="J155">
        <v>-25.76</v>
      </c>
      <c r="K155" s="1">
        <f t="shared" si="18"/>
        <v>26</v>
      </c>
      <c r="N155" s="1"/>
      <c r="O155" s="1">
        <v>0.1</v>
      </c>
      <c r="P155">
        <f t="shared" si="12"/>
        <v>90.286552387351975</v>
      </c>
      <c r="Q155">
        <f t="shared" si="13"/>
        <v>90.980523865301109</v>
      </c>
      <c r="R155" t="e">
        <f t="shared" si="14"/>
        <v>#NUM!</v>
      </c>
      <c r="V155">
        <f t="shared" si="15"/>
        <v>-24.555287164772555</v>
      </c>
      <c r="W155">
        <f t="shared" si="16"/>
        <v>-18.555287164772576</v>
      </c>
      <c r="X155">
        <f t="shared" si="17"/>
        <v>-24.555287164772555</v>
      </c>
    </row>
    <row r="156" spans="1:24">
      <c r="A156">
        <f t="shared" si="19"/>
        <v>2364.67</v>
      </c>
      <c r="B156">
        <v>831.4</v>
      </c>
      <c r="C156" s="1">
        <v>22</v>
      </c>
      <c r="D156" s="1">
        <v>335</v>
      </c>
      <c r="E156" s="1">
        <v>29.5</v>
      </c>
      <c r="F156" s="1">
        <v>341</v>
      </c>
      <c r="G156" s="1"/>
      <c r="H156" s="1"/>
      <c r="I156">
        <v>89.361999999999995</v>
      </c>
      <c r="J156">
        <v>-27.65</v>
      </c>
      <c r="K156" s="1">
        <f t="shared" si="18"/>
        <v>-335</v>
      </c>
      <c r="N156" s="1"/>
      <c r="O156" s="1">
        <v>7.7200000000000046E-2</v>
      </c>
      <c r="P156">
        <f t="shared" si="12"/>
        <v>90.309352387351964</v>
      </c>
      <c r="Q156">
        <f t="shared" si="13"/>
        <v>90.8573390904711</v>
      </c>
      <c r="R156" t="e">
        <f t="shared" si="14"/>
        <v>#NUM!</v>
      </c>
      <c r="V156">
        <f t="shared" si="15"/>
        <v>-25.53789637764698</v>
      </c>
      <c r="W156">
        <f t="shared" si="16"/>
        <v>-19.537896377647002</v>
      </c>
      <c r="X156">
        <f t="shared" si="17"/>
        <v>-0.5378963776470691</v>
      </c>
    </row>
    <row r="157" spans="1:24">
      <c r="A157">
        <f t="shared" si="19"/>
        <v>2365.17</v>
      </c>
      <c r="B157">
        <v>854</v>
      </c>
      <c r="C157" s="1">
        <v>21.5</v>
      </c>
      <c r="D157" s="1">
        <v>310</v>
      </c>
      <c r="E157" s="1">
        <v>29.5</v>
      </c>
      <c r="F157" s="1">
        <v>316</v>
      </c>
      <c r="G157" s="1"/>
      <c r="H157" s="1"/>
      <c r="I157">
        <v>89.591999999999999</v>
      </c>
      <c r="J157">
        <v>-29.33</v>
      </c>
      <c r="K157" s="1">
        <f t="shared" si="18"/>
        <v>25</v>
      </c>
      <c r="N157" s="1"/>
      <c r="O157" s="1">
        <v>3.2000000000000001E-2</v>
      </c>
      <c r="P157">
        <f t="shared" si="12"/>
        <v>90.154867969219964</v>
      </c>
      <c r="Q157">
        <f t="shared" si="13"/>
        <v>90.902539090471109</v>
      </c>
      <c r="R157" t="e">
        <f t="shared" si="14"/>
        <v>#NUM!</v>
      </c>
      <c r="V157">
        <f t="shared" si="15"/>
        <v>-26.087759810573097</v>
      </c>
      <c r="W157">
        <f t="shared" si="16"/>
        <v>-20.087759810573118</v>
      </c>
      <c r="X157">
        <f t="shared" si="17"/>
        <v>23.912240189426885</v>
      </c>
    </row>
    <row r="158" spans="1:24">
      <c r="A158">
        <f t="shared" si="19"/>
        <v>2365.67</v>
      </c>
      <c r="B158">
        <v>877.4</v>
      </c>
      <c r="C158" s="1">
        <v>21.5</v>
      </c>
      <c r="D158" s="1">
        <v>285</v>
      </c>
      <c r="E158" s="1">
        <v>29</v>
      </c>
      <c r="F158" s="1">
        <v>289</v>
      </c>
      <c r="G158" s="1"/>
      <c r="H158" s="1"/>
      <c r="I158">
        <v>89.778999999999996</v>
      </c>
      <c r="J158">
        <v>-30.93</v>
      </c>
      <c r="K158" s="1">
        <f t="shared" si="18"/>
        <v>27</v>
      </c>
      <c r="N158" s="1"/>
      <c r="O158" s="1">
        <v>0</v>
      </c>
      <c r="P158">
        <f t="shared" si="12"/>
        <v>90.186867969219961</v>
      </c>
      <c r="Q158">
        <f t="shared" si="13"/>
        <v>90.786058728886957</v>
      </c>
      <c r="R158" t="e">
        <f t="shared" si="14"/>
        <v>#NUM!</v>
      </c>
      <c r="V158">
        <f t="shared" si="15"/>
        <v>-25.772131683603074</v>
      </c>
      <c r="W158">
        <f t="shared" si="16"/>
        <v>-21.772131683602929</v>
      </c>
      <c r="X158">
        <f t="shared" si="17"/>
        <v>49.227868316396979</v>
      </c>
    </row>
    <row r="159" spans="1:24">
      <c r="A159">
        <f t="shared" si="19"/>
        <v>2366.17</v>
      </c>
      <c r="B159">
        <v>901.6</v>
      </c>
      <c r="C159" s="1">
        <v>21</v>
      </c>
      <c r="D159" s="1">
        <v>255</v>
      </c>
      <c r="E159" s="1">
        <v>28</v>
      </c>
      <c r="F159" s="1">
        <v>261</v>
      </c>
      <c r="G159" s="1"/>
      <c r="H159" s="1"/>
      <c r="I159">
        <v>89.930999999999997</v>
      </c>
      <c r="J159">
        <v>-30.64</v>
      </c>
      <c r="K159" s="1">
        <f t="shared" si="18"/>
        <v>28</v>
      </c>
      <c r="N159" s="1"/>
      <c r="O159" s="1">
        <v>0</v>
      </c>
      <c r="P159">
        <f t="shared" si="12"/>
        <v>89.982484665586227</v>
      </c>
      <c r="Q159">
        <f t="shared" si="13"/>
        <v>90.48125939775224</v>
      </c>
      <c r="R159" t="e">
        <f t="shared" si="14"/>
        <v>#NUM!</v>
      </c>
      <c r="V159">
        <f t="shared" si="15"/>
        <v>-29.591011996736256</v>
      </c>
      <c r="W159">
        <f t="shared" si="16"/>
        <v>-23.591011996736277</v>
      </c>
      <c r="X159">
        <f t="shared" si="17"/>
        <v>75.408988003263687</v>
      </c>
    </row>
    <row r="160" spans="1:24">
      <c r="A160">
        <f t="shared" si="19"/>
        <v>2366.67</v>
      </c>
      <c r="B160">
        <v>926.2</v>
      </c>
      <c r="C160" s="1">
        <v>21</v>
      </c>
      <c r="D160" s="1">
        <v>225</v>
      </c>
      <c r="E160" s="1">
        <v>28</v>
      </c>
      <c r="F160" s="1">
        <v>233</v>
      </c>
      <c r="G160" s="1"/>
      <c r="H160" s="1"/>
      <c r="I160">
        <v>90.102999999999994</v>
      </c>
      <c r="J160">
        <v>-28.07</v>
      </c>
      <c r="K160" s="1">
        <f t="shared" si="18"/>
        <v>28</v>
      </c>
      <c r="N160" s="1"/>
      <c r="O160" s="1">
        <v>0</v>
      </c>
      <c r="P160">
        <f t="shared" si="12"/>
        <v>89.982484665586227</v>
      </c>
      <c r="Q160">
        <f t="shared" si="13"/>
        <v>90.48125939775224</v>
      </c>
      <c r="R160" t="e">
        <f t="shared" si="14"/>
        <v>#NUM!</v>
      </c>
      <c r="V160">
        <f t="shared" si="15"/>
        <v>-32.977146529921285</v>
      </c>
      <c r="W160">
        <f t="shared" si="16"/>
        <v>-24.977146529921317</v>
      </c>
      <c r="X160">
        <f t="shared" si="17"/>
        <v>102.02285347007872</v>
      </c>
    </row>
    <row r="161" spans="1:24">
      <c r="A161">
        <f t="shared" si="19"/>
        <v>2367.17</v>
      </c>
      <c r="B161">
        <v>951.4</v>
      </c>
      <c r="C161" s="1">
        <v>21</v>
      </c>
      <c r="D161" s="1">
        <v>195</v>
      </c>
      <c r="E161" s="1">
        <v>28</v>
      </c>
      <c r="F161" s="1">
        <v>203</v>
      </c>
      <c r="G161" s="1"/>
      <c r="H161" s="1"/>
      <c r="I161">
        <v>90.14</v>
      </c>
      <c r="J161">
        <v>-26.01</v>
      </c>
      <c r="K161" s="1">
        <f t="shared" si="18"/>
        <v>30</v>
      </c>
      <c r="N161" s="1"/>
      <c r="O161" s="1">
        <v>0</v>
      </c>
      <c r="P161">
        <f t="shared" si="12"/>
        <v>89.982484665586227</v>
      </c>
      <c r="Q161">
        <f t="shared" si="13"/>
        <v>90.48125939775224</v>
      </c>
      <c r="R161" t="e">
        <f t="shared" si="14"/>
        <v>#NUM!</v>
      </c>
      <c r="V161">
        <f t="shared" si="15"/>
        <v>-35.714162393184253</v>
      </c>
      <c r="W161">
        <f t="shared" si="16"/>
        <v>-27.714162393184125</v>
      </c>
      <c r="X161">
        <f t="shared" si="17"/>
        <v>129.28583760681579</v>
      </c>
    </row>
    <row r="162" spans="1:24">
      <c r="A162">
        <f t="shared" si="19"/>
        <v>2367.67</v>
      </c>
      <c r="B162">
        <v>977.6</v>
      </c>
      <c r="C162" s="1">
        <v>21</v>
      </c>
      <c r="D162" s="1">
        <v>170</v>
      </c>
      <c r="E162" s="1">
        <v>28</v>
      </c>
      <c r="F162" s="1">
        <v>173</v>
      </c>
      <c r="G162" s="1"/>
      <c r="H162" s="1"/>
      <c r="I162">
        <v>90.141999999999996</v>
      </c>
      <c r="J162">
        <v>-27.23</v>
      </c>
      <c r="K162" s="1">
        <f t="shared" si="18"/>
        <v>30</v>
      </c>
      <c r="N162" s="1"/>
      <c r="O162" s="1">
        <v>0</v>
      </c>
      <c r="P162">
        <f t="shared" si="12"/>
        <v>89.982484665586227</v>
      </c>
      <c r="Q162">
        <f t="shared" si="13"/>
        <v>90.48125939775224</v>
      </c>
      <c r="R162" t="e">
        <f t="shared" si="14"/>
        <v>#NUM!</v>
      </c>
      <c r="V162">
        <f t="shared" si="15"/>
        <v>-32.369313806576386</v>
      </c>
      <c r="W162">
        <f t="shared" si="16"/>
        <v>-29.3693138065764</v>
      </c>
      <c r="X162">
        <f t="shared" si="17"/>
        <v>157.63068619342357</v>
      </c>
    </row>
    <row r="163" spans="1:24">
      <c r="A163">
        <f t="shared" si="19"/>
        <v>2368.17</v>
      </c>
      <c r="B163">
        <v>1004.4</v>
      </c>
      <c r="C163" s="1">
        <v>21.5</v>
      </c>
      <c r="D163" s="1">
        <v>145</v>
      </c>
      <c r="E163" s="1">
        <v>28.5</v>
      </c>
      <c r="F163" s="1">
        <v>143</v>
      </c>
      <c r="G163" s="1"/>
      <c r="H163" s="1"/>
      <c r="I163">
        <v>90.072000000000003</v>
      </c>
      <c r="J163">
        <v>-29.5</v>
      </c>
      <c r="K163" s="1">
        <f t="shared" si="18"/>
        <v>30</v>
      </c>
      <c r="N163" s="1"/>
      <c r="O163" s="1">
        <v>0</v>
      </c>
      <c r="P163">
        <f t="shared" si="12"/>
        <v>90.186867969219961</v>
      </c>
      <c r="Q163">
        <f t="shared" si="13"/>
        <v>90.634995971078055</v>
      </c>
      <c r="R163" t="e">
        <f t="shared" si="14"/>
        <v>#NUM!</v>
      </c>
      <c r="V163">
        <f t="shared" si="15"/>
        <v>-28.375346550046618</v>
      </c>
      <c r="W163">
        <f t="shared" si="16"/>
        <v>-30.375346550046611</v>
      </c>
      <c r="X163">
        <f t="shared" si="17"/>
        <v>-173.37534655004657</v>
      </c>
    </row>
    <row r="164" spans="1:24">
      <c r="A164">
        <f t="shared" si="19"/>
        <v>2368.67</v>
      </c>
      <c r="B164">
        <v>1031.8</v>
      </c>
      <c r="C164" s="1">
        <v>21.5</v>
      </c>
      <c r="D164" s="1">
        <v>115</v>
      </c>
      <c r="E164" s="1">
        <v>29</v>
      </c>
      <c r="F164" s="1">
        <v>113</v>
      </c>
      <c r="G164" s="1"/>
      <c r="H164" s="1"/>
      <c r="I164">
        <v>90.090999999999994</v>
      </c>
      <c r="J164">
        <v>-30.92</v>
      </c>
      <c r="K164" s="1">
        <f t="shared" si="18"/>
        <v>30</v>
      </c>
      <c r="N164" s="1"/>
      <c r="O164" s="1">
        <v>0</v>
      </c>
      <c r="P164">
        <f t="shared" si="12"/>
        <v>90.186867969219961</v>
      </c>
      <c r="Q164">
        <f t="shared" si="13"/>
        <v>90.786058728886957</v>
      </c>
      <c r="R164" t="e">
        <f t="shared" si="14"/>
        <v>#NUM!</v>
      </c>
      <c r="V164">
        <f t="shared" si="15"/>
        <v>-28.732260623594286</v>
      </c>
      <c r="W164">
        <f t="shared" si="16"/>
        <v>-30.732260623594279</v>
      </c>
      <c r="X164">
        <f t="shared" si="17"/>
        <v>-143.73226062359419</v>
      </c>
    </row>
    <row r="165" spans="1:24">
      <c r="A165">
        <f t="shared" si="19"/>
        <v>2369.17</v>
      </c>
      <c r="B165">
        <v>1060.2</v>
      </c>
      <c r="C165" s="1">
        <v>22</v>
      </c>
      <c r="D165" s="1">
        <v>80</v>
      </c>
      <c r="E165" s="1">
        <v>30</v>
      </c>
      <c r="F165" s="1">
        <v>82</v>
      </c>
      <c r="G165" s="1"/>
      <c r="H165" s="1"/>
      <c r="I165">
        <v>90.159000000000006</v>
      </c>
      <c r="J165">
        <v>-32.549999999999997</v>
      </c>
      <c r="K165" s="1">
        <f t="shared" si="18"/>
        <v>31</v>
      </c>
      <c r="N165" s="1"/>
      <c r="O165" s="1">
        <v>0</v>
      </c>
      <c r="P165">
        <f t="shared" si="12"/>
        <v>90.386552387351969</v>
      </c>
      <c r="Q165">
        <f t="shared" si="13"/>
        <v>91.080523865301103</v>
      </c>
      <c r="R165" t="e">
        <f t="shared" si="14"/>
        <v>#NUM!</v>
      </c>
      <c r="V165">
        <f t="shared" si="15"/>
        <v>-33.007310247271242</v>
      </c>
      <c r="W165">
        <f t="shared" si="16"/>
        <v>-31.007310247271249</v>
      </c>
      <c r="X165">
        <f t="shared" si="17"/>
        <v>-113.00731024727128</v>
      </c>
    </row>
    <row r="166" spans="1:24">
      <c r="A166">
        <f t="shared" si="19"/>
        <v>2369.67</v>
      </c>
      <c r="B166">
        <v>1089.2</v>
      </c>
      <c r="C166" s="1">
        <v>22</v>
      </c>
      <c r="D166" s="1">
        <v>50</v>
      </c>
      <c r="E166" s="1">
        <v>31</v>
      </c>
      <c r="F166" s="1">
        <v>50</v>
      </c>
      <c r="G166" s="1"/>
      <c r="H166" s="1"/>
      <c r="I166">
        <v>90.32</v>
      </c>
      <c r="J166">
        <v>-34.119999999999997</v>
      </c>
      <c r="K166" s="1">
        <f t="shared" si="18"/>
        <v>32</v>
      </c>
      <c r="N166" s="1"/>
      <c r="O166" s="1">
        <v>0</v>
      </c>
      <c r="P166">
        <f t="shared" si="12"/>
        <v>90.386552387351969</v>
      </c>
      <c r="Q166">
        <f t="shared" si="13"/>
        <v>91.365332647593291</v>
      </c>
      <c r="R166" t="e">
        <f t="shared" si="14"/>
        <v>#NUM!</v>
      </c>
      <c r="V166">
        <f t="shared" si="15"/>
        <v>-31.633241201026152</v>
      </c>
      <c r="W166">
        <f t="shared" si="16"/>
        <v>-31.633241201026152</v>
      </c>
      <c r="X166">
        <f t="shared" si="17"/>
        <v>-81.633241201026138</v>
      </c>
    </row>
    <row r="167" spans="1:24">
      <c r="A167">
        <f t="shared" si="19"/>
        <v>2370.17</v>
      </c>
      <c r="B167">
        <v>1118.8</v>
      </c>
      <c r="C167" s="1">
        <v>22</v>
      </c>
      <c r="D167" s="1">
        <v>15</v>
      </c>
      <c r="E167" s="1">
        <v>31.5</v>
      </c>
      <c r="F167" s="1">
        <v>16</v>
      </c>
      <c r="G167" s="1"/>
      <c r="H167" s="1"/>
      <c r="I167">
        <v>90.400999999999996</v>
      </c>
      <c r="J167">
        <v>-35.729999999999997</v>
      </c>
      <c r="K167" s="1">
        <f t="shared" si="18"/>
        <v>34</v>
      </c>
      <c r="N167" s="1"/>
      <c r="O167" s="1">
        <v>2.5142857142857012E-2</v>
      </c>
      <c r="P167">
        <f t="shared" si="12"/>
        <v>90.361409530209116</v>
      </c>
      <c r="Q167">
        <f t="shared" si="13"/>
        <v>91.479166989556987</v>
      </c>
      <c r="R167" t="e">
        <f t="shared" si="14"/>
        <v>#NUM!</v>
      </c>
      <c r="V167">
        <f t="shared" si="15"/>
        <v>-34.610053484858661</v>
      </c>
      <c r="W167">
        <f t="shared" si="16"/>
        <v>-33.610053484858668</v>
      </c>
      <c r="X167">
        <f t="shared" si="17"/>
        <v>-49.610053484858611</v>
      </c>
    </row>
    <row r="168" spans="1:24">
      <c r="A168">
        <f t="shared" si="19"/>
        <v>2370.67</v>
      </c>
      <c r="B168">
        <v>1149.5999999999999</v>
      </c>
      <c r="C168" s="1">
        <v>23</v>
      </c>
      <c r="D168" s="1">
        <v>340</v>
      </c>
      <c r="E168" s="1">
        <v>32</v>
      </c>
      <c r="F168" s="1">
        <v>341</v>
      </c>
      <c r="G168" s="1"/>
      <c r="H168" s="1"/>
      <c r="I168">
        <v>90.569000000000003</v>
      </c>
      <c r="J168">
        <v>-37.08</v>
      </c>
      <c r="K168" s="1">
        <f t="shared" si="18"/>
        <v>-325</v>
      </c>
      <c r="N168" s="1"/>
      <c r="O168" s="1">
        <v>0.11314285714285688</v>
      </c>
      <c r="P168">
        <f t="shared" si="12"/>
        <v>90.659512634116837</v>
      </c>
      <c r="Q168">
        <f t="shared" si="13"/>
        <v>91.527955480163115</v>
      </c>
      <c r="R168" t="e">
        <f t="shared" si="14"/>
        <v>#NUM!</v>
      </c>
      <c r="V168">
        <f t="shared" si="15"/>
        <v>-36.288628428846721</v>
      </c>
      <c r="W168">
        <f t="shared" si="16"/>
        <v>-35.288628428846565</v>
      </c>
      <c r="X168">
        <f t="shared" si="17"/>
        <v>-16.288628428846632</v>
      </c>
    </row>
    <row r="169" spans="1:24">
      <c r="A169">
        <f t="shared" si="19"/>
        <v>2371.17</v>
      </c>
      <c r="B169">
        <v>1181</v>
      </c>
      <c r="C169" s="1">
        <v>23</v>
      </c>
      <c r="D169" s="1">
        <v>300</v>
      </c>
      <c r="E169" s="1">
        <v>33</v>
      </c>
      <c r="F169" s="1">
        <v>303</v>
      </c>
      <c r="G169" s="1"/>
      <c r="H169" s="1"/>
      <c r="I169">
        <v>90.751000000000005</v>
      </c>
      <c r="J169">
        <v>-40.049999999999997</v>
      </c>
      <c r="K169" s="1">
        <f t="shared" si="18"/>
        <v>38</v>
      </c>
      <c r="N169" s="1"/>
      <c r="O169" s="1">
        <v>0.2</v>
      </c>
      <c r="P169">
        <f t="shared" ref="P169:P231" si="20">20*LOG(P$12*$C169/0.00002)-$N169-$O169+P$4</f>
        <v>90.572655491259695</v>
      </c>
      <c r="Q169">
        <f t="shared" ref="Q169:Q231" si="21">20*LOG(Q$12*$E169/0.00002)-$N169-$O169+Q$4</f>
        <v>91.708377568465593</v>
      </c>
      <c r="R169" t="e">
        <f t="shared" ref="R169:R231" si="22">20*LOG(R$12*$G169/0.00002)-$N169-$O169+R$4</f>
        <v>#NUM!</v>
      </c>
      <c r="V169">
        <f t="shared" ref="V169:V188" si="23">(D169/360+V$4/V$5*$B169+0.5*V$6-INT(D169/360+V$4/V$5*$B169+0.5*V$6)+IF(D169/360+V$4/V$5*$B169+0.5*V$6-INT(D169/360+V$4/V$5*$B169+0.5*V$6)&gt;0.5,-1,0))*360</f>
        <v>-42.31808470291206</v>
      </c>
      <c r="W169">
        <f t="shared" ref="W169:W188" si="24">(F169/360+W$4/W$5*$B169+0.5*W$6-INT(F169/360+W$4/W$5*$B169+0.5*W$6)+IF(F169/360+W$4/W$5*$B169+0.5*W$6-INT(F169/360+W$4/W$5*$B169+0.5*W$6)&gt;0.5,-1,0))*360</f>
        <v>-39.31808470291223</v>
      </c>
      <c r="X169">
        <f t="shared" ref="X169:X188" si="25">(H169/360+X$4/X$5*$B169+0.5*X$6-INT(H169/360+X$4/X$5*$B169+0.5*X$6)+IF(H169/360+X$4/X$5*$B169+0.5*X$6-INT(H169/360+X$4/X$5*$B169+0.5*X$6)&gt;0.5,-1,0))*360</f>
        <v>17.681915297087727</v>
      </c>
    </row>
    <row r="170" spans="1:24">
      <c r="A170">
        <f t="shared" si="19"/>
        <v>2371.67</v>
      </c>
      <c r="B170">
        <v>1213.4000000000001</v>
      </c>
      <c r="C170" s="1">
        <v>23.5</v>
      </c>
      <c r="D170" s="1">
        <v>260</v>
      </c>
      <c r="E170" s="1">
        <v>33</v>
      </c>
      <c r="F170" s="1">
        <v>265</v>
      </c>
      <c r="G170" s="1"/>
      <c r="H170" s="1"/>
      <c r="I170">
        <v>90.87</v>
      </c>
      <c r="J170">
        <v>-43.06</v>
      </c>
      <c r="K170" s="1">
        <f t="shared" ref="K170:K188" si="26">+F169-F170</f>
        <v>38</v>
      </c>
      <c r="N170" s="1"/>
      <c r="O170" s="1">
        <v>0.2</v>
      </c>
      <c r="P170">
        <f t="shared" si="20"/>
        <v>90.759456016342568</v>
      </c>
      <c r="Q170">
        <f t="shared" si="21"/>
        <v>91.708377568465593</v>
      </c>
      <c r="R170" t="e">
        <f t="shared" si="22"/>
        <v>#NUM!</v>
      </c>
      <c r="V170">
        <f t="shared" si="23"/>
        <v>-47.265676527107026</v>
      </c>
      <c r="W170">
        <f t="shared" si="24"/>
        <v>-42.265676527107203</v>
      </c>
      <c r="X170">
        <f t="shared" si="25"/>
        <v>52.734323472892939</v>
      </c>
    </row>
    <row r="171" spans="1:24">
      <c r="A171">
        <f t="shared" si="19"/>
        <v>2372.17</v>
      </c>
      <c r="B171">
        <v>1246.5999999999999</v>
      </c>
      <c r="C171" s="1">
        <v>23.5</v>
      </c>
      <c r="D171" s="1">
        <v>225</v>
      </c>
      <c r="E171" s="1">
        <v>34</v>
      </c>
      <c r="F171" s="1">
        <v>225</v>
      </c>
      <c r="G171" s="1"/>
      <c r="H171" s="1"/>
      <c r="I171">
        <v>90.954999999999998</v>
      </c>
      <c r="J171">
        <v>-45.15</v>
      </c>
      <c r="K171" s="1">
        <f t="shared" si="26"/>
        <v>40</v>
      </c>
      <c r="N171" s="1"/>
      <c r="O171" s="1">
        <v>0.2</v>
      </c>
      <c r="P171">
        <f t="shared" si="20"/>
        <v>90.759456016342568</v>
      </c>
      <c r="Q171">
        <f t="shared" si="21"/>
        <v>91.967677111752948</v>
      </c>
      <c r="R171" t="e">
        <f t="shared" si="22"/>
        <v>#NUM!</v>
      </c>
      <c r="V171">
        <f t="shared" si="23"/>
        <v>-46.34777679140587</v>
      </c>
      <c r="W171">
        <f t="shared" si="24"/>
        <v>-46.34777679140587</v>
      </c>
      <c r="X171">
        <f t="shared" si="25"/>
        <v>88.652223208594137</v>
      </c>
    </row>
    <row r="172" spans="1:24">
      <c r="A172">
        <f t="shared" si="19"/>
        <v>2372.67</v>
      </c>
      <c r="B172">
        <v>1280.8</v>
      </c>
      <c r="C172" s="1">
        <v>24</v>
      </c>
      <c r="D172" s="1">
        <v>190</v>
      </c>
      <c r="E172" s="1">
        <v>34</v>
      </c>
      <c r="F172" s="1">
        <v>185</v>
      </c>
      <c r="G172" s="1"/>
      <c r="H172" s="1"/>
      <c r="I172">
        <v>91.070999999999998</v>
      </c>
      <c r="J172">
        <v>-47.46</v>
      </c>
      <c r="K172" s="1">
        <f t="shared" si="26"/>
        <v>40</v>
      </c>
      <c r="N172" s="1"/>
      <c r="O172" s="1">
        <v>0.17400000000000007</v>
      </c>
      <c r="P172">
        <f t="shared" si="20"/>
        <v>90.968323605139958</v>
      </c>
      <c r="Q172">
        <f t="shared" si="21"/>
        <v>91.993677111752945</v>
      </c>
      <c r="R172" t="e">
        <f t="shared" si="22"/>
        <v>#NUM!</v>
      </c>
      <c r="V172">
        <f t="shared" si="23"/>
        <v>-44.348012605834022</v>
      </c>
      <c r="W172">
        <f t="shared" si="24"/>
        <v>-49.348012605833844</v>
      </c>
      <c r="X172">
        <f t="shared" si="25"/>
        <v>125.65198739416601</v>
      </c>
    </row>
    <row r="173" spans="1:24">
      <c r="A173">
        <f t="shared" si="19"/>
        <v>2373.17</v>
      </c>
      <c r="B173">
        <v>1315.8</v>
      </c>
      <c r="C173" s="1">
        <v>24.5</v>
      </c>
      <c r="D173" s="1">
        <v>145</v>
      </c>
      <c r="E173" s="1">
        <v>34</v>
      </c>
      <c r="F173" s="1">
        <v>144</v>
      </c>
      <c r="G173" s="1"/>
      <c r="H173" s="1"/>
      <c r="I173">
        <v>91.221999999999994</v>
      </c>
      <c r="J173">
        <v>-50.31</v>
      </c>
      <c r="K173" s="1">
        <f t="shared" si="26"/>
        <v>41</v>
      </c>
      <c r="N173" s="1"/>
      <c r="O173" s="1">
        <v>0.13025000000000006</v>
      </c>
      <c r="P173">
        <f t="shared" si="20"/>
        <v>91.191170458198485</v>
      </c>
      <c r="Q173">
        <f t="shared" si="21"/>
        <v>92.037427111752947</v>
      </c>
      <c r="R173" t="e">
        <f t="shared" si="22"/>
        <v>#NUM!</v>
      </c>
      <c r="V173">
        <f t="shared" si="23"/>
        <v>-51.482756860365519</v>
      </c>
      <c r="W173">
        <f t="shared" si="24"/>
        <v>-52.482756860365676</v>
      </c>
      <c r="X173">
        <f t="shared" si="25"/>
        <v>163.5172431396345</v>
      </c>
    </row>
    <row r="174" spans="1:24">
      <c r="A174">
        <f t="shared" si="19"/>
        <v>2373.67</v>
      </c>
      <c r="B174">
        <v>1351.8</v>
      </c>
      <c r="C174" s="1">
        <v>24</v>
      </c>
      <c r="D174" s="1">
        <v>100</v>
      </c>
      <c r="E174" s="1">
        <v>33.5</v>
      </c>
      <c r="F174" s="1">
        <v>103</v>
      </c>
      <c r="G174" s="1"/>
      <c r="H174" s="1"/>
      <c r="I174">
        <v>91.346999999999994</v>
      </c>
      <c r="J174">
        <v>-53.63</v>
      </c>
      <c r="K174" s="1">
        <f t="shared" si="26"/>
        <v>41</v>
      </c>
      <c r="N174" s="1"/>
      <c r="O174" s="1">
        <v>0.1</v>
      </c>
      <c r="P174">
        <f t="shared" si="20"/>
        <v>91.04232360513997</v>
      </c>
      <c r="Q174">
        <f t="shared" si="21"/>
        <v>91.938994911644755</v>
      </c>
      <c r="R174" t="e">
        <f t="shared" si="22"/>
        <v>#NUM!</v>
      </c>
      <c r="V174">
        <f t="shared" si="23"/>
        <v>-57.535636665026644</v>
      </c>
      <c r="W174">
        <f t="shared" si="24"/>
        <v>-54.535636665026495</v>
      </c>
      <c r="X174">
        <f t="shared" si="25"/>
        <v>-157.5356366650266</v>
      </c>
    </row>
    <row r="175" spans="1:24">
      <c r="A175">
        <f t="shared" si="19"/>
        <v>2374.17</v>
      </c>
      <c r="B175">
        <v>1388.8</v>
      </c>
      <c r="C175" s="1">
        <v>24</v>
      </c>
      <c r="D175" s="1">
        <v>60</v>
      </c>
      <c r="E175" s="1">
        <v>33.5</v>
      </c>
      <c r="F175" s="1">
        <v>60</v>
      </c>
      <c r="G175" s="1"/>
      <c r="H175" s="1"/>
      <c r="I175">
        <v>91.540999999999997</v>
      </c>
      <c r="J175">
        <v>-55.85</v>
      </c>
      <c r="K175" s="1">
        <f t="shared" si="26"/>
        <v>43</v>
      </c>
      <c r="N175" s="1"/>
      <c r="O175" s="1">
        <v>0.1</v>
      </c>
      <c r="P175">
        <f t="shared" si="20"/>
        <v>91.04232360513997</v>
      </c>
      <c r="Q175">
        <f t="shared" si="21"/>
        <v>91.938994911644755</v>
      </c>
      <c r="R175" t="e">
        <f t="shared" si="22"/>
        <v>#NUM!</v>
      </c>
      <c r="V175">
        <f t="shared" si="23"/>
        <v>-57.506652019817253</v>
      </c>
      <c r="W175">
        <f t="shared" si="24"/>
        <v>-57.506652019817253</v>
      </c>
      <c r="X175">
        <f t="shared" si="25"/>
        <v>-117.50665201981735</v>
      </c>
    </row>
    <row r="176" spans="1:24">
      <c r="A176">
        <f t="shared" si="19"/>
        <v>2374.67</v>
      </c>
      <c r="B176">
        <v>1427</v>
      </c>
      <c r="C176" s="1">
        <v>23.5</v>
      </c>
      <c r="D176" s="1">
        <v>15</v>
      </c>
      <c r="E176" s="1">
        <v>33</v>
      </c>
      <c r="F176" s="1">
        <v>16</v>
      </c>
      <c r="G176" s="1"/>
      <c r="H176" s="1"/>
      <c r="I176">
        <v>91.635999999999996</v>
      </c>
      <c r="J176">
        <v>-57.07</v>
      </c>
      <c r="K176" s="1">
        <f t="shared" si="26"/>
        <v>44</v>
      </c>
      <c r="N176" s="1"/>
      <c r="O176" s="1">
        <v>0.1</v>
      </c>
      <c r="P176">
        <f t="shared" si="20"/>
        <v>90.859456016342577</v>
      </c>
      <c r="Q176">
        <f t="shared" si="21"/>
        <v>91.808377568465602</v>
      </c>
      <c r="R176" t="e">
        <f t="shared" si="22"/>
        <v>#NUM!</v>
      </c>
      <c r="V176">
        <f t="shared" si="23"/>
        <v>-61.179430034763236</v>
      </c>
      <c r="W176">
        <f t="shared" si="24"/>
        <v>-60.179430034763399</v>
      </c>
      <c r="X176">
        <f t="shared" si="25"/>
        <v>-76.179430034763342</v>
      </c>
    </row>
    <row r="177" spans="1:24">
      <c r="A177">
        <f t="shared" si="19"/>
        <v>2375.17</v>
      </c>
      <c r="B177">
        <v>1465.8</v>
      </c>
      <c r="C177" s="1">
        <v>23</v>
      </c>
      <c r="D177" s="1">
        <v>330</v>
      </c>
      <c r="E177" s="1">
        <v>33</v>
      </c>
      <c r="F177" s="1">
        <v>332</v>
      </c>
      <c r="G177" s="1"/>
      <c r="H177" s="1"/>
      <c r="I177">
        <v>91.710999999999999</v>
      </c>
      <c r="J177">
        <v>-58</v>
      </c>
      <c r="K177" s="1">
        <f t="shared" si="26"/>
        <v>-316</v>
      </c>
      <c r="N177" s="1"/>
      <c r="O177" s="1">
        <v>0.1</v>
      </c>
      <c r="P177">
        <f t="shared" si="20"/>
        <v>90.672655491259704</v>
      </c>
      <c r="Q177">
        <f t="shared" si="21"/>
        <v>91.808377568465602</v>
      </c>
      <c r="R177" t="e">
        <f t="shared" si="22"/>
        <v>#NUM!</v>
      </c>
      <c r="V177">
        <f t="shared" si="23"/>
        <v>-64.203089379787002</v>
      </c>
      <c r="W177">
        <f t="shared" si="24"/>
        <v>-62.203089379787002</v>
      </c>
      <c r="X177">
        <f t="shared" si="25"/>
        <v>-34.203089379787102</v>
      </c>
    </row>
    <row r="178" spans="1:24">
      <c r="A178">
        <f t="shared" si="19"/>
        <v>2375.67</v>
      </c>
      <c r="B178">
        <v>1506.2</v>
      </c>
      <c r="C178" s="1">
        <v>23</v>
      </c>
      <c r="D178" s="1">
        <v>285</v>
      </c>
      <c r="E178" s="1">
        <v>33</v>
      </c>
      <c r="F178" s="1">
        <v>286</v>
      </c>
      <c r="G178" s="1"/>
      <c r="H178" s="1"/>
      <c r="I178">
        <v>91.722999999999999</v>
      </c>
      <c r="J178">
        <v>-58.74</v>
      </c>
      <c r="K178" s="1">
        <f t="shared" si="26"/>
        <v>46</v>
      </c>
      <c r="N178" s="1"/>
      <c r="O178" s="1">
        <v>0.1</v>
      </c>
      <c r="P178">
        <f t="shared" si="20"/>
        <v>90.672655491259704</v>
      </c>
      <c r="Q178">
        <f t="shared" si="21"/>
        <v>91.808377568465602</v>
      </c>
      <c r="R178" t="e">
        <f t="shared" si="22"/>
        <v>#NUM!</v>
      </c>
      <c r="V178">
        <f t="shared" si="23"/>
        <v>-65.495765605017837</v>
      </c>
      <c r="W178">
        <f t="shared" si="24"/>
        <v>-64.495765605017993</v>
      </c>
      <c r="X178">
        <f t="shared" si="25"/>
        <v>9.5042343949820562</v>
      </c>
    </row>
    <row r="179" spans="1:24">
      <c r="A179">
        <f t="shared" si="19"/>
        <v>2376.17</v>
      </c>
      <c r="B179">
        <v>1547.2</v>
      </c>
      <c r="C179" s="1">
        <v>23.5</v>
      </c>
      <c r="D179" s="1">
        <v>240</v>
      </c>
      <c r="E179" s="1">
        <v>33</v>
      </c>
      <c r="F179" s="1">
        <v>238</v>
      </c>
      <c r="G179" s="1"/>
      <c r="H179" s="1"/>
      <c r="I179">
        <v>91.638000000000005</v>
      </c>
      <c r="J179">
        <v>-57.86</v>
      </c>
      <c r="K179" s="1">
        <f t="shared" si="26"/>
        <v>48</v>
      </c>
      <c r="N179" s="1"/>
      <c r="O179" s="1">
        <v>0.13720000000000004</v>
      </c>
      <c r="P179">
        <f t="shared" si="20"/>
        <v>90.822256016342564</v>
      </c>
      <c r="Q179">
        <f t="shared" si="21"/>
        <v>91.771177568465589</v>
      </c>
      <c r="R179" t="e">
        <f t="shared" si="22"/>
        <v>#NUM!</v>
      </c>
      <c r="V179">
        <f t="shared" si="23"/>
        <v>-66.139323160326455</v>
      </c>
      <c r="W179">
        <f t="shared" si="24"/>
        <v>-68.139323160326455</v>
      </c>
      <c r="X179">
        <f t="shared" si="25"/>
        <v>53.860676839673438</v>
      </c>
    </row>
    <row r="180" spans="1:24">
      <c r="A180">
        <f t="shared" si="19"/>
        <v>2376.67</v>
      </c>
      <c r="B180">
        <v>1589.8</v>
      </c>
      <c r="C180" s="1">
        <v>24</v>
      </c>
      <c r="D180" s="1">
        <v>190</v>
      </c>
      <c r="E180" s="1">
        <v>34</v>
      </c>
      <c r="F180" s="1">
        <v>188</v>
      </c>
      <c r="G180" s="1"/>
      <c r="H180" s="1"/>
      <c r="I180">
        <v>91.433000000000007</v>
      </c>
      <c r="J180">
        <v>-56.18</v>
      </c>
      <c r="K180" s="1">
        <f t="shared" si="26"/>
        <v>50</v>
      </c>
      <c r="N180" s="1"/>
      <c r="O180" s="1">
        <v>0.17979999999999996</v>
      </c>
      <c r="P180">
        <f t="shared" si="20"/>
        <v>90.962523605139964</v>
      </c>
      <c r="Q180">
        <f t="shared" si="21"/>
        <v>91.987877111752951</v>
      </c>
      <c r="R180" t="e">
        <f t="shared" si="22"/>
        <v>#NUM!</v>
      </c>
      <c r="V180">
        <f t="shared" si="23"/>
        <v>-70.051897595842291</v>
      </c>
      <c r="W180">
        <f t="shared" si="24"/>
        <v>-72.051897595842291</v>
      </c>
      <c r="X180">
        <f t="shared" si="25"/>
        <v>99.948102404157737</v>
      </c>
    </row>
    <row r="181" spans="1:24">
      <c r="A181">
        <f t="shared" si="19"/>
        <v>2377.17</v>
      </c>
      <c r="B181">
        <v>1633.2</v>
      </c>
      <c r="C181" s="1">
        <v>24.5</v>
      </c>
      <c r="D181" s="1">
        <v>140</v>
      </c>
      <c r="E181" s="1">
        <v>35</v>
      </c>
      <c r="F181" s="1">
        <v>136</v>
      </c>
      <c r="G181" s="1"/>
      <c r="H181" s="1"/>
      <c r="I181">
        <v>91.182000000000002</v>
      </c>
      <c r="J181">
        <v>-55.57</v>
      </c>
      <c r="K181" s="1">
        <f t="shared" si="26"/>
        <v>52</v>
      </c>
      <c r="N181" s="1"/>
      <c r="O181" s="1">
        <v>0.2</v>
      </c>
      <c r="P181">
        <f t="shared" si="20"/>
        <v>91.121420458198486</v>
      </c>
      <c r="Q181">
        <f t="shared" si="21"/>
        <v>92.219459657913362</v>
      </c>
      <c r="R181" t="e">
        <f t="shared" si="22"/>
        <v>#NUM!</v>
      </c>
      <c r="V181">
        <f t="shared" si="23"/>
        <v>-73.098980471461203</v>
      </c>
      <c r="W181">
        <f t="shared" si="24"/>
        <v>-77.098980471461189</v>
      </c>
      <c r="X181">
        <f t="shared" si="25"/>
        <v>146.90101952853865</v>
      </c>
    </row>
    <row r="182" spans="1:24">
      <c r="A182">
        <f t="shared" si="19"/>
        <v>2377.67</v>
      </c>
      <c r="B182">
        <v>1678</v>
      </c>
      <c r="C182" s="1">
        <v>25</v>
      </c>
      <c r="D182" s="1">
        <v>90</v>
      </c>
      <c r="E182" s="1">
        <v>36</v>
      </c>
      <c r="F182" s="1">
        <v>83</v>
      </c>
      <c r="G182" s="1"/>
      <c r="H182" s="1"/>
      <c r="I182">
        <v>90.926000000000002</v>
      </c>
      <c r="J182">
        <v>-57.13</v>
      </c>
      <c r="K182" s="1">
        <f t="shared" si="26"/>
        <v>53</v>
      </c>
      <c r="N182" s="1"/>
      <c r="O182" s="1">
        <v>0.2</v>
      </c>
      <c r="P182">
        <f t="shared" si="20"/>
        <v>91.296898944348584</v>
      </c>
      <c r="Q182">
        <f t="shared" si="21"/>
        <v>92.464148786253574</v>
      </c>
      <c r="R182" t="e">
        <f t="shared" si="22"/>
        <v>#NUM!</v>
      </c>
      <c r="V182">
        <f t="shared" si="23"/>
        <v>-74.631453117261913</v>
      </c>
      <c r="W182">
        <f t="shared" si="24"/>
        <v>-81.631453117262041</v>
      </c>
      <c r="X182">
        <f t="shared" si="25"/>
        <v>-164.63145311726191</v>
      </c>
    </row>
    <row r="183" spans="1:24">
      <c r="A183">
        <f t="shared" si="19"/>
        <v>2378.17</v>
      </c>
      <c r="B183">
        <v>1723.8</v>
      </c>
      <c r="C183" s="1">
        <v>25</v>
      </c>
      <c r="D183" s="1">
        <v>30</v>
      </c>
      <c r="E183" s="1">
        <v>36</v>
      </c>
      <c r="F183" s="1">
        <v>29</v>
      </c>
      <c r="G183" s="1"/>
      <c r="H183" s="1"/>
      <c r="I183">
        <v>90.643000000000001</v>
      </c>
      <c r="J183">
        <v>-61.09</v>
      </c>
      <c r="K183" s="1">
        <f t="shared" si="26"/>
        <v>54</v>
      </c>
      <c r="N183" s="1"/>
      <c r="O183" s="1">
        <v>0.2</v>
      </c>
      <c r="P183">
        <f t="shared" si="20"/>
        <v>91.296898944348584</v>
      </c>
      <c r="Q183">
        <f t="shared" si="21"/>
        <v>92.464148786253574</v>
      </c>
      <c r="R183" t="e">
        <f t="shared" si="22"/>
        <v>#NUM!</v>
      </c>
      <c r="V183">
        <f t="shared" si="23"/>
        <v>-85.082061313192199</v>
      </c>
      <c r="W183">
        <f t="shared" si="24"/>
        <v>-86.082061313192042</v>
      </c>
      <c r="X183">
        <f t="shared" si="25"/>
        <v>-115.0820613131921</v>
      </c>
    </row>
    <row r="184" spans="1:24">
      <c r="A184">
        <f t="shared" si="19"/>
        <v>2378.67</v>
      </c>
      <c r="B184">
        <v>1771.2</v>
      </c>
      <c r="C184" s="1">
        <v>25</v>
      </c>
      <c r="D184" s="1">
        <v>330</v>
      </c>
      <c r="E184" s="1">
        <v>33.5</v>
      </c>
      <c r="F184" s="1">
        <v>335</v>
      </c>
      <c r="G184" s="1"/>
      <c r="H184" s="1"/>
      <c r="I184">
        <v>90.366</v>
      </c>
      <c r="J184">
        <v>-66.16</v>
      </c>
      <c r="K184" s="1">
        <f t="shared" si="26"/>
        <v>-306</v>
      </c>
      <c r="N184" s="1"/>
      <c r="O184" s="1">
        <v>0.2</v>
      </c>
      <c r="P184">
        <f t="shared" si="20"/>
        <v>91.296898944348584</v>
      </c>
      <c r="Q184">
        <f t="shared" si="21"/>
        <v>91.838994911644747</v>
      </c>
      <c r="R184" t="e">
        <f t="shared" si="22"/>
        <v>#NUM!</v>
      </c>
      <c r="V184">
        <f t="shared" si="23"/>
        <v>-93.801686389329262</v>
      </c>
      <c r="W184">
        <f t="shared" si="24"/>
        <v>-88.801686389329433</v>
      </c>
      <c r="X184">
        <f t="shared" si="25"/>
        <v>-63.801686389329362</v>
      </c>
    </row>
    <row r="185" spans="1:24">
      <c r="A185">
        <f t="shared" si="19"/>
        <v>2379.17</v>
      </c>
      <c r="B185">
        <v>1819.6</v>
      </c>
      <c r="C185" s="1">
        <v>24</v>
      </c>
      <c r="D185" s="1">
        <v>275</v>
      </c>
      <c r="E185" s="1">
        <v>32</v>
      </c>
      <c r="F185" s="1">
        <v>278</v>
      </c>
      <c r="G185" s="1"/>
      <c r="H185" s="1"/>
      <c r="I185">
        <v>90.123000000000005</v>
      </c>
      <c r="J185">
        <v>-69.75</v>
      </c>
      <c r="K185" s="1">
        <f t="shared" si="26"/>
        <v>57</v>
      </c>
      <c r="N185" s="1"/>
      <c r="O185" s="1">
        <v>0.2</v>
      </c>
      <c r="P185">
        <f t="shared" si="20"/>
        <v>90.942323605139961</v>
      </c>
      <c r="Q185">
        <f t="shared" si="21"/>
        <v>91.441098337305974</v>
      </c>
      <c r="R185" t="e">
        <f t="shared" si="22"/>
        <v>#NUM!</v>
      </c>
      <c r="V185">
        <f t="shared" si="23"/>
        <v>-96.439447015596116</v>
      </c>
      <c r="W185">
        <f t="shared" si="24"/>
        <v>-93.43944701559596</v>
      </c>
      <c r="X185">
        <f t="shared" si="25"/>
        <v>-11.439447015595938</v>
      </c>
    </row>
    <row r="186" spans="1:24">
      <c r="A186">
        <f t="shared" si="19"/>
        <v>2379.67</v>
      </c>
      <c r="B186">
        <v>1869.4</v>
      </c>
      <c r="C186" s="1">
        <v>22.5</v>
      </c>
      <c r="D186" s="1">
        <v>220</v>
      </c>
      <c r="E186" s="1">
        <v>30</v>
      </c>
      <c r="F186" s="1">
        <v>218</v>
      </c>
      <c r="G186" s="1"/>
      <c r="H186" s="1"/>
      <c r="I186">
        <v>89.888999999999996</v>
      </c>
      <c r="J186">
        <v>-71.150000000000006</v>
      </c>
      <c r="K186" s="1">
        <f t="shared" si="26"/>
        <v>60</v>
      </c>
      <c r="N186" s="1"/>
      <c r="O186" s="1">
        <v>0.24490909090909099</v>
      </c>
      <c r="P186">
        <f t="shared" si="20"/>
        <v>90.336840042226001</v>
      </c>
      <c r="Q186">
        <f t="shared" si="21"/>
        <v>90.835614774392013</v>
      </c>
      <c r="R186" t="e">
        <f t="shared" si="22"/>
        <v>#NUM!</v>
      </c>
      <c r="V186">
        <f t="shared" si="23"/>
        <v>-97.562597412043814</v>
      </c>
      <c r="W186">
        <f t="shared" si="24"/>
        <v>-99.5625974120438</v>
      </c>
      <c r="X186">
        <f t="shared" si="25"/>
        <v>42.437402587956328</v>
      </c>
    </row>
    <row r="187" spans="1:24">
      <c r="A187">
        <f t="shared" si="19"/>
        <v>2380.17</v>
      </c>
      <c r="B187">
        <v>1920.4</v>
      </c>
      <c r="C187" s="1">
        <v>20</v>
      </c>
      <c r="D187" s="1">
        <v>160</v>
      </c>
      <c r="E187" s="1">
        <v>28</v>
      </c>
      <c r="F187" s="1">
        <v>158</v>
      </c>
      <c r="G187" s="1"/>
      <c r="H187" s="1"/>
      <c r="I187">
        <v>89.575000000000003</v>
      </c>
      <c r="J187">
        <v>-73.11</v>
      </c>
      <c r="K187" s="1">
        <f t="shared" si="26"/>
        <v>60</v>
      </c>
      <c r="N187" s="1"/>
      <c r="O187" s="1">
        <v>0.29127272727272735</v>
      </c>
      <c r="P187">
        <f t="shared" si="20"/>
        <v>89.267425956914735</v>
      </c>
      <c r="Q187">
        <f t="shared" si="21"/>
        <v>90.189986670479513</v>
      </c>
      <c r="R187" t="e">
        <f t="shared" si="22"/>
        <v>#NUM!</v>
      </c>
      <c r="V187">
        <f t="shared" si="23"/>
        <v>-102.38751046864721</v>
      </c>
      <c r="W187">
        <f t="shared" si="24"/>
        <v>-104.38751046864721</v>
      </c>
      <c r="X187">
        <f t="shared" si="25"/>
        <v>97.612489531352722</v>
      </c>
    </row>
    <row r="188" spans="1:24">
      <c r="A188">
        <f t="shared" si="19"/>
        <v>2380.67</v>
      </c>
      <c r="B188">
        <v>1973.2</v>
      </c>
      <c r="C188" s="1">
        <v>19</v>
      </c>
      <c r="D188" s="1">
        <v>100</v>
      </c>
      <c r="E188" s="1">
        <v>26</v>
      </c>
      <c r="F188" s="1">
        <v>100</v>
      </c>
      <c r="G188" s="1"/>
      <c r="H188" s="1"/>
      <c r="I188">
        <v>89.11</v>
      </c>
      <c r="J188">
        <v>-75.37</v>
      </c>
      <c r="K188" s="1">
        <f t="shared" si="26"/>
        <v>58</v>
      </c>
      <c r="N188" s="1"/>
      <c r="O188" s="1">
        <v>0.33600000000000002</v>
      </c>
      <c r="P188">
        <f t="shared" si="20"/>
        <v>88.777170789964416</v>
      </c>
      <c r="Q188">
        <f t="shared" si="21"/>
        <v>89.501565730324202</v>
      </c>
      <c r="R188" t="e">
        <f t="shared" si="22"/>
        <v>#NUM!</v>
      </c>
      <c r="V188">
        <f t="shared" si="23"/>
        <v>-105.26506751548361</v>
      </c>
      <c r="W188">
        <f t="shared" si="24"/>
        <v>-105.26506751548361</v>
      </c>
      <c r="X188">
        <f t="shared" si="25"/>
        <v>154.73493248451643</v>
      </c>
    </row>
    <row r="189" spans="1:24">
      <c r="A189">
        <f t="shared" si="19"/>
        <v>2381.17</v>
      </c>
      <c r="B189">
        <v>2026</v>
      </c>
      <c r="C189" s="1">
        <v>18</v>
      </c>
      <c r="D189" s="1"/>
      <c r="E189" s="1">
        <v>25.5</v>
      </c>
      <c r="F189" s="1"/>
      <c r="G189" s="1"/>
      <c r="H189" s="1"/>
      <c r="I189">
        <v>88.572000000000003</v>
      </c>
      <c r="J189">
        <v>-74.63</v>
      </c>
      <c r="N189" s="1"/>
      <c r="O189" s="1">
        <v>0.38</v>
      </c>
      <c r="P189">
        <f t="shared" si="20"/>
        <v>88.263548872973971</v>
      </c>
      <c r="Q189">
        <f t="shared" si="21"/>
        <v>89.288902379586943</v>
      </c>
      <c r="R189" t="e">
        <f t="shared" si="22"/>
        <v>#NUM!</v>
      </c>
    </row>
    <row r="190" spans="1:24">
      <c r="A190">
        <f t="shared" si="19"/>
        <v>2381.67</v>
      </c>
      <c r="B190">
        <v>2082</v>
      </c>
      <c r="C190" s="1">
        <v>17</v>
      </c>
      <c r="D190" s="1"/>
      <c r="E190" s="1">
        <v>25</v>
      </c>
      <c r="F190" s="1"/>
      <c r="G190" s="1"/>
      <c r="H190" s="1"/>
      <c r="I190">
        <v>88.147000000000006</v>
      </c>
      <c r="J190">
        <v>-72.540000000000006</v>
      </c>
      <c r="N190" s="1"/>
      <c r="O190" s="1">
        <v>0.37538461538461537</v>
      </c>
      <c r="P190">
        <f t="shared" si="20"/>
        <v>87.771692583088708</v>
      </c>
      <c r="Q190">
        <f t="shared" si="21"/>
        <v>89.121514328963983</v>
      </c>
      <c r="R190" t="e">
        <f t="shared" si="22"/>
        <v>#NUM!</v>
      </c>
    </row>
    <row r="191" spans="1:24">
      <c r="A191">
        <f t="shared" si="19"/>
        <v>2382.17</v>
      </c>
      <c r="B191">
        <v>2140</v>
      </c>
      <c r="C191" s="1">
        <v>17</v>
      </c>
      <c r="D191" s="1"/>
      <c r="E191" s="1">
        <v>24.5</v>
      </c>
      <c r="F191" s="1"/>
      <c r="G191" s="1"/>
      <c r="H191" s="1"/>
      <c r="I191">
        <v>88.027000000000001</v>
      </c>
      <c r="J191">
        <v>-72.819999999999993</v>
      </c>
      <c r="N191" s="1"/>
      <c r="O191" s="1">
        <v>0.33076923076923076</v>
      </c>
      <c r="P191">
        <f t="shared" si="20"/>
        <v>87.816307967704091</v>
      </c>
      <c r="Q191">
        <f t="shared" si="21"/>
        <v>88.990651227429268</v>
      </c>
      <c r="R191" t="e">
        <f t="shared" si="22"/>
        <v>#NUM!</v>
      </c>
    </row>
    <row r="192" spans="1:24">
      <c r="A192">
        <f t="shared" si="19"/>
        <v>2382.67</v>
      </c>
      <c r="B192">
        <v>2198</v>
      </c>
      <c r="C192" s="1">
        <v>17</v>
      </c>
      <c r="D192" s="1"/>
      <c r="E192" s="1">
        <v>24.5</v>
      </c>
      <c r="F192" s="1"/>
      <c r="G192" s="1"/>
      <c r="H192" s="1"/>
      <c r="I192">
        <v>88.248000000000005</v>
      </c>
      <c r="J192">
        <v>-75.19</v>
      </c>
      <c r="N192" s="1"/>
      <c r="O192" s="1">
        <v>0.3</v>
      </c>
      <c r="P192">
        <f t="shared" si="20"/>
        <v>87.847077198473329</v>
      </c>
      <c r="Q192">
        <f t="shared" si="21"/>
        <v>89.021420458198506</v>
      </c>
      <c r="R192" t="e">
        <f t="shared" si="22"/>
        <v>#NUM!</v>
      </c>
    </row>
    <row r="193" spans="1:18">
      <c r="A193">
        <f t="shared" si="19"/>
        <v>2383.17</v>
      </c>
      <c r="B193">
        <v>2258</v>
      </c>
      <c r="C193" s="1">
        <v>18.5</v>
      </c>
      <c r="D193" s="1"/>
      <c r="E193" s="1">
        <v>25</v>
      </c>
      <c r="F193" s="1"/>
      <c r="G193" s="1"/>
      <c r="H193" s="1"/>
      <c r="I193">
        <v>88.706000000000003</v>
      </c>
      <c r="J193">
        <v>-77.900000000000006</v>
      </c>
      <c r="N193" s="1"/>
      <c r="O193" s="1">
        <v>0.3</v>
      </c>
      <c r="P193">
        <f t="shared" si="20"/>
        <v>88.581533338968114</v>
      </c>
      <c r="Q193">
        <f t="shared" si="21"/>
        <v>89.196898944348604</v>
      </c>
      <c r="R193" t="e">
        <f t="shared" si="22"/>
        <v>#NUM!</v>
      </c>
    </row>
    <row r="194" spans="1:18">
      <c r="A194">
        <f t="shared" si="19"/>
        <v>2383.67</v>
      </c>
      <c r="B194">
        <v>2320</v>
      </c>
      <c r="C194" s="1">
        <v>20</v>
      </c>
      <c r="D194" s="1"/>
      <c r="E194" s="1">
        <v>27</v>
      </c>
      <c r="F194" s="1"/>
      <c r="G194" s="1"/>
      <c r="H194" s="1"/>
      <c r="I194">
        <v>89.242000000000004</v>
      </c>
      <c r="J194">
        <v>-82.75</v>
      </c>
      <c r="N194" s="1"/>
      <c r="O194" s="1">
        <v>0.3</v>
      </c>
      <c r="P194">
        <f t="shared" si="20"/>
        <v>89.258698684187465</v>
      </c>
      <c r="Q194">
        <f t="shared" si="21"/>
        <v>89.865374054087582</v>
      </c>
      <c r="R194" t="e">
        <f t="shared" si="22"/>
        <v>#NUM!</v>
      </c>
    </row>
    <row r="195" spans="1:18">
      <c r="A195">
        <f t="shared" si="19"/>
        <v>2384.17</v>
      </c>
      <c r="B195">
        <v>2384</v>
      </c>
      <c r="C195" s="1">
        <v>21</v>
      </c>
      <c r="D195" s="1"/>
      <c r="E195" s="1">
        <v>29</v>
      </c>
      <c r="F195" s="1"/>
      <c r="G195" s="1"/>
      <c r="H195" s="1"/>
      <c r="I195">
        <v>89.688999999999993</v>
      </c>
      <c r="J195">
        <v>-91.16</v>
      </c>
      <c r="N195" s="1"/>
      <c r="O195" s="1">
        <v>0.2573333333333333</v>
      </c>
      <c r="P195">
        <f t="shared" si="20"/>
        <v>89.725151332252892</v>
      </c>
      <c r="Q195">
        <f t="shared" si="21"/>
        <v>90.528725395553622</v>
      </c>
      <c r="R195" t="e">
        <f t="shared" si="22"/>
        <v>#NUM!</v>
      </c>
    </row>
    <row r="196" spans="1:18">
      <c r="A196">
        <f t="shared" si="19"/>
        <v>2384.67</v>
      </c>
      <c r="B196">
        <v>2448</v>
      </c>
      <c r="C196" s="1">
        <v>22</v>
      </c>
      <c r="D196" s="1"/>
      <c r="E196" s="1">
        <v>30</v>
      </c>
      <c r="F196" s="1"/>
      <c r="G196" s="1"/>
      <c r="H196" s="1"/>
      <c r="I196">
        <v>89.912999999999997</v>
      </c>
      <c r="J196">
        <v>-99.09</v>
      </c>
      <c r="N196" s="1"/>
      <c r="O196" s="1">
        <v>0.21466666666666667</v>
      </c>
      <c r="P196">
        <f t="shared" si="20"/>
        <v>90.171885720685296</v>
      </c>
      <c r="Q196">
        <f t="shared" si="21"/>
        <v>90.86585719863443</v>
      </c>
      <c r="R196" t="e">
        <f t="shared" si="22"/>
        <v>#NUM!</v>
      </c>
    </row>
    <row r="197" spans="1:18">
      <c r="A197">
        <f t="shared" si="19"/>
        <v>2385.17</v>
      </c>
      <c r="B197">
        <v>2516</v>
      </c>
      <c r="C197" s="1">
        <v>22</v>
      </c>
      <c r="D197" s="1"/>
      <c r="E197" s="1">
        <v>30</v>
      </c>
      <c r="F197" s="1"/>
      <c r="G197" s="1"/>
      <c r="H197" s="1"/>
      <c r="I197">
        <v>89.906999999999996</v>
      </c>
      <c r="J197">
        <v>-102.8</v>
      </c>
      <c r="N197" s="1"/>
      <c r="O197" s="1">
        <v>0.22875000000000001</v>
      </c>
      <c r="P197">
        <f t="shared" si="20"/>
        <v>90.157802387351964</v>
      </c>
      <c r="Q197">
        <f t="shared" si="21"/>
        <v>90.851773865301098</v>
      </c>
      <c r="R197" t="e">
        <f t="shared" si="22"/>
        <v>#NUM!</v>
      </c>
    </row>
    <row r="198" spans="1:18">
      <c r="A198">
        <f t="shared" si="19"/>
        <v>2385.67</v>
      </c>
      <c r="B198">
        <v>2584</v>
      </c>
      <c r="C198" s="1">
        <v>22</v>
      </c>
      <c r="D198" s="1"/>
      <c r="E198" s="1">
        <v>28</v>
      </c>
      <c r="F198" s="1"/>
      <c r="G198" s="1"/>
      <c r="H198" s="1"/>
      <c r="I198">
        <v>89.825999999999993</v>
      </c>
      <c r="J198">
        <v>-104.1</v>
      </c>
      <c r="N198" s="1"/>
      <c r="O198" s="1">
        <v>0.27124999999999999</v>
      </c>
      <c r="P198">
        <f t="shared" si="20"/>
        <v>90.115302387351974</v>
      </c>
      <c r="Q198">
        <f t="shared" si="21"/>
        <v>90.210009397752245</v>
      </c>
      <c r="R198" t="e">
        <f t="shared" si="22"/>
        <v>#NUM!</v>
      </c>
    </row>
    <row r="199" spans="1:18">
      <c r="A199">
        <f t="shared" si="19"/>
        <v>2386.17</v>
      </c>
      <c r="B199">
        <v>2656</v>
      </c>
      <c r="C199" s="1">
        <v>21</v>
      </c>
      <c r="D199" s="1"/>
      <c r="E199" s="1">
        <v>25</v>
      </c>
      <c r="F199" s="1"/>
      <c r="G199" s="1"/>
      <c r="H199" s="1"/>
      <c r="I199">
        <v>89.91</v>
      </c>
      <c r="J199">
        <v>-106</v>
      </c>
      <c r="N199" s="1"/>
      <c r="O199" s="1">
        <v>0.23499999999999999</v>
      </c>
      <c r="P199">
        <f t="shared" si="20"/>
        <v>89.747484665586228</v>
      </c>
      <c r="Q199">
        <f t="shared" si="21"/>
        <v>89.261898944348602</v>
      </c>
      <c r="R199" t="e">
        <f t="shared" si="22"/>
        <v>#NUM!</v>
      </c>
    </row>
    <row r="200" spans="1:18">
      <c r="A200">
        <f t="shared" si="19"/>
        <v>2386.67</v>
      </c>
      <c r="B200">
        <v>2728</v>
      </c>
      <c r="C200" s="1">
        <v>20</v>
      </c>
      <c r="D200" s="1"/>
      <c r="E200" s="1">
        <v>23</v>
      </c>
      <c r="F200" s="1"/>
      <c r="G200" s="1"/>
      <c r="H200" s="1"/>
      <c r="I200">
        <v>90.304000000000002</v>
      </c>
      <c r="J200">
        <v>-108.1</v>
      </c>
      <c r="N200" s="1"/>
      <c r="O200" s="1">
        <v>5.4999999999999966E-2</v>
      </c>
      <c r="P200">
        <f t="shared" si="20"/>
        <v>89.503698684187455</v>
      </c>
      <c r="Q200">
        <f t="shared" si="21"/>
        <v>88.717655491259706</v>
      </c>
      <c r="R200" t="e">
        <f t="shared" si="22"/>
        <v>#NUM!</v>
      </c>
    </row>
    <row r="201" spans="1:18">
      <c r="A201">
        <f t="shared" si="19"/>
        <v>2387.17</v>
      </c>
      <c r="B201">
        <v>2802</v>
      </c>
      <c r="C201" s="1">
        <v>19.5</v>
      </c>
      <c r="D201" s="1"/>
      <c r="E201" s="1">
        <v>23.5</v>
      </c>
      <c r="F201" s="1"/>
      <c r="G201" s="1"/>
      <c r="H201" s="1"/>
      <c r="I201">
        <v>90.927000000000007</v>
      </c>
      <c r="J201">
        <v>-110.7</v>
      </c>
      <c r="N201" s="1"/>
      <c r="O201" s="1">
        <v>-0.1</v>
      </c>
      <c r="P201">
        <f t="shared" si="20"/>
        <v>89.438790998158197</v>
      </c>
      <c r="Q201">
        <f t="shared" si="21"/>
        <v>89.059456016342551</v>
      </c>
      <c r="R201" t="e">
        <f t="shared" si="22"/>
        <v>#NUM!</v>
      </c>
    </row>
    <row r="202" spans="1:18">
      <c r="A202">
        <f t="shared" si="19"/>
        <v>2387.67</v>
      </c>
      <c r="B202">
        <v>2880</v>
      </c>
      <c r="C202" s="1">
        <v>19</v>
      </c>
      <c r="D202" s="1"/>
      <c r="E202" s="1">
        <v>24.5</v>
      </c>
      <c r="F202" s="1"/>
      <c r="G202" s="1"/>
      <c r="H202" s="1"/>
      <c r="I202">
        <v>91.546999999999997</v>
      </c>
      <c r="J202">
        <v>-114</v>
      </c>
      <c r="N202" s="1"/>
      <c r="O202" s="1">
        <v>-0.1</v>
      </c>
      <c r="P202">
        <f t="shared" si="20"/>
        <v>89.213170789964408</v>
      </c>
      <c r="Q202">
        <f t="shared" si="21"/>
        <v>89.421420458198497</v>
      </c>
      <c r="R202" t="e">
        <f t="shared" si="22"/>
        <v>#NUM!</v>
      </c>
    </row>
    <row r="203" spans="1:18">
      <c r="A203">
        <f t="shared" si="19"/>
        <v>2388.17</v>
      </c>
      <c r="B203">
        <v>2958</v>
      </c>
      <c r="C203" s="1">
        <v>18.5</v>
      </c>
      <c r="D203" s="1"/>
      <c r="E203" s="1">
        <v>24</v>
      </c>
      <c r="F203" s="1"/>
      <c r="G203" s="1"/>
      <c r="H203" s="1"/>
      <c r="I203">
        <v>91.977999999999994</v>
      </c>
      <c r="J203">
        <v>-116.9</v>
      </c>
      <c r="N203" s="1"/>
      <c r="O203" s="1">
        <v>-0.1</v>
      </c>
      <c r="P203">
        <f t="shared" si="20"/>
        <v>88.981533338968106</v>
      </c>
      <c r="Q203">
        <f t="shared" si="21"/>
        <v>89.242323605139944</v>
      </c>
      <c r="R203" t="e">
        <f t="shared" si="22"/>
        <v>#NUM!</v>
      </c>
    </row>
    <row r="204" spans="1:18">
      <c r="A204">
        <f t="shared" si="19"/>
        <v>2388.67</v>
      </c>
      <c r="B204">
        <v>3040</v>
      </c>
      <c r="C204" s="1">
        <v>16.5</v>
      </c>
      <c r="D204" s="1"/>
      <c r="E204" s="1">
        <v>23</v>
      </c>
      <c r="F204" s="1"/>
      <c r="G204" s="1"/>
      <c r="H204" s="1"/>
      <c r="I204">
        <v>92.158000000000001</v>
      </c>
      <c r="J204">
        <v>-118.5</v>
      </c>
      <c r="N204" s="1"/>
      <c r="O204" s="1">
        <v>-6.3157894736842107E-2</v>
      </c>
      <c r="P204">
        <f t="shared" si="20"/>
        <v>87.950935549922818</v>
      </c>
      <c r="Q204">
        <f t="shared" si="21"/>
        <v>88.835813385996559</v>
      </c>
      <c r="R204" t="e">
        <f t="shared" si="22"/>
        <v>#NUM!</v>
      </c>
    </row>
    <row r="205" spans="1:18">
      <c r="A205">
        <f t="shared" si="19"/>
        <v>2389.17</v>
      </c>
      <c r="B205">
        <v>3124</v>
      </c>
      <c r="C205" s="1">
        <v>14.5</v>
      </c>
      <c r="D205" s="1"/>
      <c r="E205" s="1">
        <v>21.5</v>
      </c>
      <c r="F205" s="1"/>
      <c r="G205" s="1"/>
      <c r="H205" s="1"/>
      <c r="I205">
        <v>92.13</v>
      </c>
      <c r="J205">
        <v>-117.2</v>
      </c>
      <c r="N205" s="1"/>
      <c r="O205" s="1">
        <v>-1.8947368421052629E-2</v>
      </c>
      <c r="P205">
        <f t="shared" si="20"/>
        <v>86.784406184028398</v>
      </c>
      <c r="Q205">
        <f t="shared" si="21"/>
        <v>88.205815337640999</v>
      </c>
      <c r="R205" t="e">
        <f t="shared" si="22"/>
        <v>#NUM!</v>
      </c>
    </row>
    <row r="206" spans="1:18">
      <c r="A206">
        <f t="shared" si="19"/>
        <v>2389.67</v>
      </c>
      <c r="B206">
        <v>3208</v>
      </c>
      <c r="C206" s="1">
        <v>14</v>
      </c>
      <c r="D206" s="1"/>
      <c r="E206" s="1">
        <v>20.5</v>
      </c>
      <c r="F206" s="1"/>
      <c r="G206" s="1"/>
      <c r="H206" s="1"/>
      <c r="I206">
        <v>91.95</v>
      </c>
      <c r="J206">
        <v>-114.5</v>
      </c>
      <c r="N206" s="1"/>
      <c r="O206" s="1">
        <v>4.8000000000000001E-2</v>
      </c>
      <c r="P206">
        <f t="shared" si="20"/>
        <v>86.412659484472599</v>
      </c>
      <c r="Q206">
        <f t="shared" si="21"/>
        <v>87.725175992022926</v>
      </c>
      <c r="R206" t="e">
        <f t="shared" si="22"/>
        <v>#NUM!</v>
      </c>
    </row>
    <row r="207" spans="1:18">
      <c r="A207">
        <f t="shared" si="19"/>
        <v>2390.17</v>
      </c>
      <c r="B207">
        <v>3296</v>
      </c>
      <c r="C207" s="1">
        <v>15</v>
      </c>
      <c r="D207" s="1"/>
      <c r="E207" s="1">
        <v>19.5</v>
      </c>
      <c r="F207" s="1"/>
      <c r="G207" s="1"/>
      <c r="H207" s="1"/>
      <c r="I207">
        <v>91.587000000000003</v>
      </c>
      <c r="J207">
        <v>-115.3</v>
      </c>
      <c r="N207" s="1"/>
      <c r="O207" s="1">
        <v>0.13600000000000001</v>
      </c>
      <c r="P207">
        <f t="shared" si="20"/>
        <v>86.923923952021468</v>
      </c>
      <c r="Q207">
        <f t="shared" si="21"/>
        <v>87.202790998158221</v>
      </c>
      <c r="R207" t="e">
        <f t="shared" si="22"/>
        <v>#NUM!</v>
      </c>
    </row>
    <row r="208" spans="1:18">
      <c r="A208">
        <f t="shared" si="19"/>
        <v>2390.67</v>
      </c>
      <c r="B208">
        <v>3386</v>
      </c>
      <c r="C208" s="1">
        <v>16</v>
      </c>
      <c r="D208" s="1"/>
      <c r="E208" s="1">
        <v>18.5</v>
      </c>
      <c r="F208" s="1"/>
      <c r="G208" s="1"/>
      <c r="H208" s="1"/>
      <c r="I208">
        <v>91.025000000000006</v>
      </c>
      <c r="J208">
        <v>-123.1</v>
      </c>
      <c r="N208" s="1"/>
      <c r="O208" s="1">
        <v>0.22476190476190477</v>
      </c>
      <c r="P208">
        <f t="shared" si="20"/>
        <v>87.395736519264432</v>
      </c>
      <c r="Q208">
        <f t="shared" si="21"/>
        <v>86.65677143420622</v>
      </c>
      <c r="R208" t="e">
        <f t="shared" si="22"/>
        <v>#NUM!</v>
      </c>
    </row>
    <row r="209" spans="1:18">
      <c r="A209">
        <f t="shared" si="19"/>
        <v>2391.17</v>
      </c>
      <c r="B209">
        <v>3480</v>
      </c>
      <c r="C209" s="1">
        <v>16</v>
      </c>
      <c r="D209" s="1"/>
      <c r="E209" s="1">
        <v>17.5</v>
      </c>
      <c r="F209" s="1"/>
      <c r="G209" s="1"/>
      <c r="H209" s="1"/>
      <c r="I209">
        <v>90.225999999999999</v>
      </c>
      <c r="J209">
        <v>-137.9</v>
      </c>
      <c r="N209" s="1"/>
      <c r="O209" s="1">
        <v>0.31428571428571428</v>
      </c>
      <c r="P209">
        <f t="shared" si="20"/>
        <v>87.30621270974062</v>
      </c>
      <c r="Q209">
        <f t="shared" si="21"/>
        <v>86.084574030348023</v>
      </c>
      <c r="R209" t="e">
        <f t="shared" si="22"/>
        <v>#NUM!</v>
      </c>
    </row>
    <row r="210" spans="1:18">
      <c r="A210">
        <f t="shared" si="19"/>
        <v>2391.67</v>
      </c>
      <c r="B210">
        <v>3574</v>
      </c>
      <c r="C210" s="1">
        <v>15</v>
      </c>
      <c r="D210" s="1"/>
      <c r="E210" s="1">
        <v>17</v>
      </c>
      <c r="F210" s="1"/>
      <c r="G210" s="1"/>
      <c r="H210" s="1"/>
      <c r="I210">
        <v>89.171000000000006</v>
      </c>
      <c r="J210">
        <v>-153.30000000000001</v>
      </c>
      <c r="N210" s="1"/>
      <c r="O210" s="1">
        <v>0.40521739130434786</v>
      </c>
      <c r="P210">
        <f t="shared" si="20"/>
        <v>86.654706560717116</v>
      </c>
      <c r="Q210">
        <f t="shared" si="21"/>
        <v>85.741859807168979</v>
      </c>
      <c r="R210" t="e">
        <f t="shared" si="22"/>
        <v>#NUM!</v>
      </c>
    </row>
    <row r="211" spans="1:18">
      <c r="A211">
        <f t="shared" si="19"/>
        <v>2392.17</v>
      </c>
      <c r="B211">
        <v>3672</v>
      </c>
      <c r="C211" s="1">
        <v>14</v>
      </c>
      <c r="D211" s="1"/>
      <c r="E211" s="1">
        <v>17</v>
      </c>
      <c r="F211" s="1"/>
      <c r="G211" s="1"/>
      <c r="H211" s="1"/>
      <c r="I211">
        <v>87.957999999999998</v>
      </c>
      <c r="J211">
        <v>-160.69999999999999</v>
      </c>
      <c r="N211" s="1"/>
      <c r="O211" s="1">
        <v>0.53304347826086951</v>
      </c>
      <c r="P211">
        <f t="shared" si="20"/>
        <v>85.927616006211736</v>
      </c>
      <c r="Q211">
        <f t="shared" si="21"/>
        <v>85.614033720212461</v>
      </c>
      <c r="R211" t="e">
        <f t="shared" si="22"/>
        <v>#NUM!</v>
      </c>
    </row>
    <row r="212" spans="1:18">
      <c r="A212">
        <f t="shared" ref="A212:A274" si="27">+A211+0.5</f>
        <v>2392.67</v>
      </c>
      <c r="B212">
        <v>3772</v>
      </c>
      <c r="C212" s="1">
        <v>12.5</v>
      </c>
      <c r="D212" s="1"/>
      <c r="E212" s="1">
        <v>17</v>
      </c>
      <c r="F212" s="1"/>
      <c r="G212" s="1"/>
      <c r="H212" s="1"/>
      <c r="I212">
        <v>86.808000000000007</v>
      </c>
      <c r="J212">
        <v>-161.19999999999999</v>
      </c>
      <c r="N212" s="1"/>
      <c r="O212" s="1">
        <v>0.66347826086956518</v>
      </c>
      <c r="P212">
        <f t="shared" si="20"/>
        <v>84.812820770199394</v>
      </c>
      <c r="Q212">
        <f t="shared" si="21"/>
        <v>85.483598937603759</v>
      </c>
      <c r="R212" t="e">
        <f t="shared" si="22"/>
        <v>#NUM!</v>
      </c>
    </row>
    <row r="213" spans="1:18">
      <c r="A213">
        <f t="shared" si="27"/>
        <v>2393.17</v>
      </c>
      <c r="B213">
        <v>3876</v>
      </c>
      <c r="C213" s="1">
        <v>12</v>
      </c>
      <c r="D213" s="1"/>
      <c r="E213" s="1">
        <v>16.5</v>
      </c>
      <c r="F213" s="1"/>
      <c r="G213" s="1"/>
      <c r="H213" s="1"/>
      <c r="I213">
        <v>86.108999999999995</v>
      </c>
      <c r="J213">
        <v>-158.9</v>
      </c>
      <c r="N213" s="1"/>
      <c r="O213" s="1">
        <v>0.7</v>
      </c>
      <c r="P213">
        <f t="shared" si="20"/>
        <v>84.421723691860336</v>
      </c>
      <c r="Q213">
        <f t="shared" si="21"/>
        <v>85.187777655185968</v>
      </c>
      <c r="R213" t="e">
        <f t="shared" si="22"/>
        <v>#NUM!</v>
      </c>
    </row>
    <row r="214" spans="1:18">
      <c r="A214">
        <f t="shared" si="27"/>
        <v>2393.67</v>
      </c>
      <c r="B214">
        <v>3982</v>
      </c>
      <c r="C214" s="1">
        <v>12</v>
      </c>
      <c r="D214" s="1"/>
      <c r="E214" s="1">
        <v>16</v>
      </c>
      <c r="F214" s="1"/>
      <c r="G214" s="1"/>
      <c r="H214" s="1"/>
      <c r="I214">
        <v>86.106999999999999</v>
      </c>
      <c r="J214">
        <v>-153.1</v>
      </c>
      <c r="N214" s="1"/>
      <c r="O214" s="1">
        <v>0.7</v>
      </c>
      <c r="P214">
        <f t="shared" si="20"/>
        <v>84.421723691860336</v>
      </c>
      <c r="Q214">
        <f t="shared" si="21"/>
        <v>84.920498424026349</v>
      </c>
      <c r="R214" t="e">
        <f t="shared" si="22"/>
        <v>#NUM!</v>
      </c>
    </row>
    <row r="215" spans="1:18">
      <c r="A215">
        <f t="shared" si="27"/>
        <v>2394.17</v>
      </c>
      <c r="B215">
        <v>4092</v>
      </c>
      <c r="C215" s="1">
        <v>12.5</v>
      </c>
      <c r="D215" s="1"/>
      <c r="E215" s="1">
        <v>15</v>
      </c>
      <c r="F215" s="1"/>
      <c r="G215" s="1"/>
      <c r="H215" s="1"/>
      <c r="I215">
        <v>86.738</v>
      </c>
      <c r="J215">
        <v>-148.5</v>
      </c>
      <c r="N215" s="1"/>
      <c r="O215" s="1">
        <v>0.7208</v>
      </c>
      <c r="P215">
        <f t="shared" si="20"/>
        <v>84.755499031068965</v>
      </c>
      <c r="Q215">
        <f t="shared" si="21"/>
        <v>84.339123952021481</v>
      </c>
      <c r="R215" t="e">
        <f t="shared" si="22"/>
        <v>#NUM!</v>
      </c>
    </row>
    <row r="216" spans="1:18">
      <c r="A216">
        <f t="shared" si="27"/>
        <v>2394.67</v>
      </c>
      <c r="B216">
        <v>4202</v>
      </c>
      <c r="C216" s="1">
        <v>13</v>
      </c>
      <c r="D216" s="1"/>
      <c r="E216" s="1">
        <v>15</v>
      </c>
      <c r="F216" s="1"/>
      <c r="G216" s="1"/>
      <c r="H216" s="1"/>
      <c r="I216">
        <v>87.66</v>
      </c>
      <c r="J216">
        <v>-152.30000000000001</v>
      </c>
      <c r="N216" s="1"/>
      <c r="O216" s="1">
        <v>0.76480000000000004</v>
      </c>
      <c r="P216">
        <f t="shared" si="20"/>
        <v>85.052165817044582</v>
      </c>
      <c r="Q216">
        <f t="shared" si="21"/>
        <v>84.295123952021484</v>
      </c>
      <c r="R216" t="e">
        <f t="shared" si="22"/>
        <v>#NUM!</v>
      </c>
    </row>
    <row r="217" spans="1:18">
      <c r="A217">
        <f t="shared" si="27"/>
        <v>2395.17</v>
      </c>
      <c r="B217">
        <v>4318</v>
      </c>
      <c r="C217" s="1">
        <v>14</v>
      </c>
      <c r="D217" s="1"/>
      <c r="E217" s="1">
        <v>16.5</v>
      </c>
      <c r="F217" s="1"/>
      <c r="G217" s="1"/>
      <c r="H217" s="1"/>
      <c r="I217">
        <v>88.415000000000006</v>
      </c>
      <c r="J217">
        <v>-162.4</v>
      </c>
      <c r="N217" s="1"/>
      <c r="O217" s="1">
        <v>0.81</v>
      </c>
      <c r="P217">
        <f t="shared" si="20"/>
        <v>85.650659484472598</v>
      </c>
      <c r="Q217">
        <f t="shared" si="21"/>
        <v>85.077777655185969</v>
      </c>
      <c r="R217" t="e">
        <f t="shared" si="22"/>
        <v>#NUM!</v>
      </c>
    </row>
    <row r="218" spans="1:18">
      <c r="A218">
        <f t="shared" si="27"/>
        <v>2395.67</v>
      </c>
      <c r="B218">
        <v>4436</v>
      </c>
      <c r="C218" s="1">
        <v>15</v>
      </c>
      <c r="D218" s="1"/>
      <c r="E218" s="1">
        <v>19</v>
      </c>
      <c r="F218" s="1"/>
      <c r="G218" s="1"/>
      <c r="H218" s="1"/>
      <c r="I218">
        <v>88.757000000000005</v>
      </c>
      <c r="J218">
        <v>-171.9</v>
      </c>
      <c r="N218" s="1"/>
      <c r="O218" s="1">
        <v>0.8521428571428572</v>
      </c>
      <c r="P218">
        <f t="shared" si="20"/>
        <v>86.207781094878612</v>
      </c>
      <c r="Q218">
        <f t="shared" si="21"/>
        <v>86.261027932821577</v>
      </c>
      <c r="R218" t="e">
        <f t="shared" si="22"/>
        <v>#NUM!</v>
      </c>
    </row>
    <row r="219" spans="1:18">
      <c r="A219">
        <f t="shared" si="27"/>
        <v>2396.17</v>
      </c>
      <c r="B219">
        <v>4558</v>
      </c>
      <c r="C219" s="1">
        <v>14</v>
      </c>
      <c r="D219" s="1"/>
      <c r="E219" s="1">
        <v>19</v>
      </c>
      <c r="F219" s="1"/>
      <c r="G219" s="1"/>
      <c r="H219" s="1"/>
      <c r="I219">
        <v>88.834999999999994</v>
      </c>
      <c r="J219">
        <v>-179.9</v>
      </c>
      <c r="N219" s="1"/>
      <c r="O219" s="1">
        <v>0.89571428571428569</v>
      </c>
      <c r="P219">
        <f t="shared" si="20"/>
        <v>85.564945198758309</v>
      </c>
      <c r="Q219">
        <f t="shared" si="21"/>
        <v>86.217456504250137</v>
      </c>
      <c r="R219" t="e">
        <f t="shared" si="22"/>
        <v>#NUM!</v>
      </c>
    </row>
    <row r="220" spans="1:18">
      <c r="A220">
        <f t="shared" si="27"/>
        <v>2396.67</v>
      </c>
      <c r="B220">
        <v>4682</v>
      </c>
      <c r="C220" s="1">
        <v>13</v>
      </c>
      <c r="D220" s="1"/>
      <c r="E220" s="1">
        <v>20</v>
      </c>
      <c r="F220" s="1"/>
      <c r="G220" s="1"/>
      <c r="H220" s="1"/>
      <c r="I220">
        <v>89.08</v>
      </c>
      <c r="J220">
        <v>170.13</v>
      </c>
      <c r="N220" s="1"/>
      <c r="O220" s="1">
        <v>1.0158620689655173</v>
      </c>
      <c r="P220">
        <f t="shared" si="20"/>
        <v>84.801103748079058</v>
      </c>
      <c r="Q220">
        <f t="shared" si="21"/>
        <v>86.542836615221958</v>
      </c>
      <c r="R220" t="e">
        <f t="shared" si="22"/>
        <v>#NUM!</v>
      </c>
    </row>
    <row r="221" spans="1:18">
      <c r="A221">
        <f t="shared" si="27"/>
        <v>2397.17</v>
      </c>
      <c r="B221">
        <v>4810</v>
      </c>
      <c r="C221" s="1">
        <v>14</v>
      </c>
      <c r="D221" s="1"/>
      <c r="E221" s="1">
        <v>25</v>
      </c>
      <c r="F221" s="1"/>
      <c r="G221" s="1"/>
      <c r="H221" s="1"/>
      <c r="I221">
        <v>89.793999999999997</v>
      </c>
      <c r="J221">
        <v>157.65</v>
      </c>
      <c r="N221" s="1"/>
      <c r="O221" s="1">
        <v>1.1482758620689655</v>
      </c>
      <c r="P221">
        <f t="shared" si="20"/>
        <v>85.31238362240363</v>
      </c>
      <c r="Q221">
        <f t="shared" si="21"/>
        <v>88.34862308227963</v>
      </c>
      <c r="R221" t="e">
        <f t="shared" si="22"/>
        <v>#NUM!</v>
      </c>
    </row>
    <row r="222" spans="1:18">
      <c r="A222">
        <f t="shared" si="27"/>
        <v>2397.67</v>
      </c>
      <c r="B222">
        <v>4942</v>
      </c>
      <c r="C222" s="1">
        <v>16.5</v>
      </c>
      <c r="D222" s="1"/>
      <c r="E222" s="1">
        <v>30</v>
      </c>
      <c r="F222" s="1"/>
      <c r="G222" s="1"/>
      <c r="H222" s="1"/>
      <c r="I222">
        <v>90.858999999999995</v>
      </c>
      <c r="J222">
        <v>143.05000000000001</v>
      </c>
      <c r="N222" s="1"/>
      <c r="O222" s="1">
        <v>1.2546666666666666</v>
      </c>
      <c r="P222">
        <f t="shared" si="20"/>
        <v>86.633110988519306</v>
      </c>
      <c r="Q222">
        <f t="shared" si="21"/>
        <v>89.825857198634438</v>
      </c>
      <c r="R222" t="e">
        <f t="shared" si="22"/>
        <v>#NUM!</v>
      </c>
    </row>
    <row r="223" spans="1:18">
      <c r="A223">
        <f t="shared" si="27"/>
        <v>2398.17</v>
      </c>
      <c r="B223">
        <v>5078</v>
      </c>
      <c r="C223" s="1">
        <v>18</v>
      </c>
      <c r="D223" s="1"/>
      <c r="E223" s="1">
        <v>32</v>
      </c>
      <c r="F223" s="1"/>
      <c r="G223" s="1"/>
      <c r="H223" s="1"/>
      <c r="I223">
        <v>91.808000000000007</v>
      </c>
      <c r="J223">
        <v>127.37</v>
      </c>
      <c r="N223" s="1"/>
      <c r="O223" s="1">
        <v>1.3453333333333333</v>
      </c>
      <c r="P223">
        <f t="shared" si="20"/>
        <v>87.298215539640637</v>
      </c>
      <c r="Q223">
        <f t="shared" si="21"/>
        <v>90.295765003972647</v>
      </c>
      <c r="R223" t="e">
        <f t="shared" si="22"/>
        <v>#NUM!</v>
      </c>
    </row>
    <row r="224" spans="1:18">
      <c r="A224">
        <f t="shared" si="27"/>
        <v>2398.67</v>
      </c>
      <c r="B224">
        <v>5216</v>
      </c>
      <c r="C224" s="1">
        <v>20</v>
      </c>
      <c r="D224" s="1"/>
      <c r="E224" s="1">
        <v>29</v>
      </c>
      <c r="F224" s="1"/>
      <c r="G224" s="1"/>
      <c r="H224" s="1"/>
      <c r="I224">
        <v>92.134</v>
      </c>
      <c r="J224">
        <v>111.69</v>
      </c>
      <c r="N224" s="1"/>
      <c r="O224" s="1">
        <v>1.416969696969697</v>
      </c>
      <c r="P224">
        <f t="shared" si="20"/>
        <v>88.141728987217761</v>
      </c>
      <c r="Q224">
        <f t="shared" si="21"/>
        <v>89.369089031917255</v>
      </c>
      <c r="R224" t="e">
        <f t="shared" si="22"/>
        <v>#NUM!</v>
      </c>
    </row>
    <row r="225" spans="1:18">
      <c r="A225">
        <f t="shared" si="27"/>
        <v>2399.17</v>
      </c>
      <c r="B225">
        <v>5360</v>
      </c>
      <c r="C225" s="1">
        <v>21</v>
      </c>
      <c r="D225" s="1"/>
      <c r="E225" s="1">
        <v>25</v>
      </c>
      <c r="F225" s="1"/>
      <c r="G225" s="1"/>
      <c r="H225" s="1"/>
      <c r="I225">
        <v>91.623000000000005</v>
      </c>
      <c r="J225">
        <v>95.661000000000001</v>
      </c>
      <c r="N225" s="1"/>
      <c r="O225" s="1">
        <v>1.4606060606060605</v>
      </c>
      <c r="P225">
        <f t="shared" si="20"/>
        <v>88.521878604980174</v>
      </c>
      <c r="Q225">
        <f t="shared" si="21"/>
        <v>88.036292883742547</v>
      </c>
      <c r="R225" t="e">
        <f t="shared" si="22"/>
        <v>#NUM!</v>
      </c>
    </row>
    <row r="226" spans="1:18">
      <c r="A226">
        <f t="shared" si="27"/>
        <v>2399.67</v>
      </c>
      <c r="B226">
        <v>5506</v>
      </c>
      <c r="C226" s="1">
        <v>21</v>
      </c>
      <c r="D226" s="1"/>
      <c r="E226" s="1">
        <v>22</v>
      </c>
      <c r="F226" s="1"/>
      <c r="G226" s="1"/>
      <c r="H226" s="1"/>
      <c r="I226">
        <v>90.418999999999997</v>
      </c>
      <c r="J226">
        <v>81.98</v>
      </c>
      <c r="N226" s="1"/>
      <c r="O226" s="1">
        <v>1.5091428571428571</v>
      </c>
      <c r="P226">
        <f t="shared" si="20"/>
        <v>88.473341808443365</v>
      </c>
      <c r="Q226">
        <f t="shared" si="21"/>
        <v>86.877409530209107</v>
      </c>
      <c r="R226" t="e">
        <f t="shared" si="22"/>
        <v>#NUM!</v>
      </c>
    </row>
    <row r="227" spans="1:18">
      <c r="A227">
        <f t="shared" si="27"/>
        <v>2400.17</v>
      </c>
      <c r="B227">
        <v>5658</v>
      </c>
      <c r="C227" s="1">
        <v>19</v>
      </c>
      <c r="D227" s="1"/>
      <c r="E227" s="1">
        <v>19</v>
      </c>
      <c r="F227" s="1"/>
      <c r="G227" s="1"/>
      <c r="H227" s="1"/>
      <c r="I227">
        <v>88.805999999999997</v>
      </c>
      <c r="J227">
        <v>73.766000000000005</v>
      </c>
      <c r="N227" s="1"/>
      <c r="O227" s="1">
        <v>1.5960000000000001</v>
      </c>
      <c r="P227">
        <f t="shared" si="20"/>
        <v>87.51717078996441</v>
      </c>
      <c r="Q227">
        <f t="shared" si="21"/>
        <v>85.517170789964425</v>
      </c>
      <c r="R227" t="e">
        <f t="shared" si="22"/>
        <v>#NUM!</v>
      </c>
    </row>
    <row r="228" spans="1:18">
      <c r="A228">
        <f t="shared" si="27"/>
        <v>2400.67</v>
      </c>
      <c r="B228">
        <v>5812</v>
      </c>
      <c r="C228" s="1">
        <v>16.5</v>
      </c>
      <c r="D228" s="1"/>
      <c r="E228" s="1">
        <v>17</v>
      </c>
      <c r="F228" s="1"/>
      <c r="G228" s="1"/>
      <c r="H228" s="1"/>
      <c r="I228">
        <v>87.084000000000003</v>
      </c>
      <c r="J228">
        <v>70.991</v>
      </c>
      <c r="N228" s="1"/>
      <c r="O228" s="1">
        <v>1.6839999999999999</v>
      </c>
      <c r="P228">
        <f t="shared" si="20"/>
        <v>86.203777655185974</v>
      </c>
      <c r="Q228">
        <f t="shared" si="21"/>
        <v>84.463077198473329</v>
      </c>
      <c r="R228" t="e">
        <f t="shared" si="22"/>
        <v>#NUM!</v>
      </c>
    </row>
    <row r="229" spans="1:18">
      <c r="A229">
        <f t="shared" si="27"/>
        <v>2401.17</v>
      </c>
      <c r="B229">
        <v>5970</v>
      </c>
      <c r="C229" s="1">
        <v>11</v>
      </c>
      <c r="D229" s="1"/>
      <c r="E229" s="1">
        <v>13</v>
      </c>
      <c r="F229" s="1"/>
      <c r="G229" s="1"/>
      <c r="H229" s="1"/>
      <c r="I229">
        <v>85.495000000000005</v>
      </c>
      <c r="J229">
        <v>72.007000000000005</v>
      </c>
      <c r="N229" s="1"/>
      <c r="O229" s="1">
        <v>1.7351351351351352</v>
      </c>
      <c r="P229">
        <f t="shared" si="20"/>
        <v>82.630817338937206</v>
      </c>
      <c r="Q229">
        <f t="shared" si="21"/>
        <v>82.081830681909452</v>
      </c>
      <c r="R229" t="e">
        <f t="shared" si="22"/>
        <v>#NUM!</v>
      </c>
    </row>
    <row r="230" spans="1:18">
      <c r="A230">
        <f t="shared" si="27"/>
        <v>2401.67</v>
      </c>
      <c r="B230">
        <v>6134</v>
      </c>
      <c r="C230" s="1">
        <v>8.5</v>
      </c>
      <c r="D230" s="1"/>
      <c r="E230" s="1">
        <v>10</v>
      </c>
      <c r="F230" s="1"/>
      <c r="G230" s="1"/>
      <c r="H230" s="1"/>
      <c r="I230">
        <v>84.119</v>
      </c>
      <c r="J230">
        <v>76.134</v>
      </c>
      <c r="N230" s="1"/>
      <c r="O230" s="1">
        <v>1.7794594594594595</v>
      </c>
      <c r="P230">
        <f t="shared" si="20"/>
        <v>80.347017825734241</v>
      </c>
      <c r="Q230">
        <f t="shared" si="21"/>
        <v>79.758639311448391</v>
      </c>
      <c r="R230" t="e">
        <f t="shared" si="22"/>
        <v>#NUM!</v>
      </c>
    </row>
    <row r="231" spans="1:18">
      <c r="A231">
        <f t="shared" si="27"/>
        <v>2402.17</v>
      </c>
      <c r="B231">
        <v>6302</v>
      </c>
      <c r="C231" s="1">
        <v>9</v>
      </c>
      <c r="D231" s="1"/>
      <c r="E231" s="1">
        <v>9</v>
      </c>
      <c r="F231" s="1"/>
      <c r="G231" s="1"/>
      <c r="H231" s="1"/>
      <c r="I231">
        <v>82.900999999999996</v>
      </c>
      <c r="J231">
        <v>85.727999999999994</v>
      </c>
      <c r="N231" s="1"/>
      <c r="O231" s="1">
        <v>1.7770000000000001</v>
      </c>
      <c r="P231">
        <f t="shared" si="20"/>
        <v>80.84594895969434</v>
      </c>
      <c r="Q231">
        <f t="shared" si="21"/>
        <v>78.845948959694326</v>
      </c>
      <c r="R231" t="e">
        <f t="shared" si="22"/>
        <v>#NUM!</v>
      </c>
    </row>
    <row r="232" spans="1:18">
      <c r="A232">
        <f t="shared" si="27"/>
        <v>2402.67</v>
      </c>
      <c r="B232">
        <v>6476</v>
      </c>
      <c r="C232" s="1"/>
      <c r="D232" s="1"/>
      <c r="E232" s="1"/>
      <c r="F232" s="1"/>
      <c r="G232" s="1"/>
      <c r="H232" s="1"/>
      <c r="I232">
        <v>81.78</v>
      </c>
      <c r="J232">
        <v>98.025999999999996</v>
      </c>
      <c r="N232" s="1"/>
      <c r="O232" s="1">
        <v>1.7335</v>
      </c>
    </row>
    <row r="233" spans="1:18">
      <c r="A233">
        <f t="shared" si="27"/>
        <v>2403.17</v>
      </c>
      <c r="B233">
        <v>6654</v>
      </c>
      <c r="C233" s="1"/>
      <c r="D233" s="1"/>
      <c r="E233" s="1"/>
      <c r="F233" s="1"/>
      <c r="G233" s="1"/>
      <c r="H233" s="1"/>
      <c r="I233">
        <v>80.656000000000006</v>
      </c>
      <c r="J233">
        <v>101.94</v>
      </c>
      <c r="N233" s="1"/>
      <c r="O233" s="1">
        <v>1.6685714285714286</v>
      </c>
    </row>
    <row r="234" spans="1:18">
      <c r="A234">
        <f t="shared" si="27"/>
        <v>2403.67</v>
      </c>
      <c r="B234">
        <v>6834</v>
      </c>
      <c r="C234" s="1"/>
      <c r="D234" s="1"/>
      <c r="E234" s="1"/>
      <c r="F234" s="1"/>
      <c r="G234" s="1"/>
      <c r="H234" s="1"/>
      <c r="I234">
        <v>79.472999999999999</v>
      </c>
      <c r="J234">
        <v>91.028999999999996</v>
      </c>
      <c r="N234" s="1"/>
      <c r="O234" s="1">
        <v>1.54</v>
      </c>
    </row>
    <row r="235" spans="1:18">
      <c r="A235">
        <f t="shared" si="27"/>
        <v>2404.17</v>
      </c>
      <c r="B235">
        <v>7022</v>
      </c>
      <c r="C235" s="1"/>
      <c r="D235" s="1"/>
      <c r="E235" s="1"/>
      <c r="F235" s="1"/>
      <c r="G235" s="1"/>
      <c r="H235" s="1"/>
      <c r="I235">
        <v>78.373999999999995</v>
      </c>
      <c r="J235">
        <v>71.238</v>
      </c>
      <c r="N235" s="1"/>
      <c r="O235" s="1">
        <v>1.4057142857142857</v>
      </c>
    </row>
    <row r="236" spans="1:18">
      <c r="A236">
        <f t="shared" si="27"/>
        <v>2404.67</v>
      </c>
      <c r="B236">
        <v>7214</v>
      </c>
      <c r="C236" s="1"/>
      <c r="D236" s="1"/>
      <c r="E236" s="1"/>
      <c r="F236" s="1"/>
      <c r="G236" s="1"/>
      <c r="H236" s="1"/>
      <c r="I236">
        <v>77.552999999999997</v>
      </c>
      <c r="J236">
        <v>57.567999999999998</v>
      </c>
      <c r="N236" s="1"/>
      <c r="O236" s="1">
        <v>1.4836363636363636</v>
      </c>
    </row>
    <row r="237" spans="1:18">
      <c r="A237">
        <f t="shared" si="27"/>
        <v>2405.17</v>
      </c>
      <c r="B237">
        <v>7412</v>
      </c>
      <c r="C237" s="1"/>
      <c r="D237" s="1"/>
      <c r="E237" s="1"/>
      <c r="F237" s="1"/>
      <c r="G237" s="1"/>
      <c r="H237" s="1"/>
      <c r="I237">
        <v>77.004999999999995</v>
      </c>
      <c r="J237">
        <v>55.862000000000002</v>
      </c>
      <c r="N237" s="1"/>
      <c r="O237" s="1">
        <v>1.5736363636363637</v>
      </c>
    </row>
    <row r="238" spans="1:18">
      <c r="A238">
        <f t="shared" si="27"/>
        <v>2405.67</v>
      </c>
      <c r="B238">
        <v>7614</v>
      </c>
      <c r="C238" s="1"/>
      <c r="D238" s="1"/>
      <c r="E238" s="1"/>
      <c r="F238" s="1"/>
      <c r="G238" s="1"/>
      <c r="H238" s="1"/>
      <c r="I238">
        <v>76.488</v>
      </c>
      <c r="J238">
        <v>53.136000000000003</v>
      </c>
      <c r="N238" s="1"/>
      <c r="O238" s="1">
        <v>1.69</v>
      </c>
    </row>
    <row r="239" spans="1:18">
      <c r="A239">
        <f t="shared" si="27"/>
        <v>2406.17</v>
      </c>
      <c r="B239">
        <v>7822</v>
      </c>
      <c r="C239" s="1"/>
      <c r="D239" s="1"/>
      <c r="E239" s="1"/>
      <c r="F239" s="1"/>
      <c r="G239" s="1"/>
      <c r="H239" s="1"/>
      <c r="I239">
        <v>75.632999999999996</v>
      </c>
      <c r="J239">
        <v>40.976999999999997</v>
      </c>
      <c r="N239" s="1"/>
      <c r="O239" s="1">
        <v>1.8199999999999998</v>
      </c>
    </row>
    <row r="240" spans="1:18">
      <c r="A240">
        <f t="shared" si="27"/>
        <v>2406.67</v>
      </c>
      <c r="B240">
        <v>8038</v>
      </c>
      <c r="C240" s="1"/>
      <c r="D240" s="1"/>
      <c r="E240" s="1"/>
      <c r="F240" s="1"/>
      <c r="G240" s="1"/>
      <c r="H240" s="1"/>
      <c r="I240">
        <v>74.197000000000003</v>
      </c>
      <c r="J240">
        <v>25.088999999999999</v>
      </c>
      <c r="N240" s="1"/>
      <c r="O240" s="1">
        <v>1.8823999999999999</v>
      </c>
    </row>
    <row r="241" spans="1:15">
      <c r="A241">
        <f t="shared" si="27"/>
        <v>2407.17</v>
      </c>
      <c r="B241">
        <v>8258</v>
      </c>
      <c r="C241" s="1"/>
      <c r="D241" s="1"/>
      <c r="E241" s="1"/>
      <c r="F241" s="1"/>
      <c r="G241" s="1"/>
      <c r="H241" s="1"/>
      <c r="I241">
        <v>72.245000000000005</v>
      </c>
      <c r="J241">
        <v>3.4049</v>
      </c>
      <c r="N241" s="1"/>
      <c r="O241" s="1">
        <v>1.8384</v>
      </c>
    </row>
    <row r="242" spans="1:15">
      <c r="A242">
        <f t="shared" si="27"/>
        <v>2407.67</v>
      </c>
      <c r="B242">
        <v>8484</v>
      </c>
      <c r="C242" s="1"/>
      <c r="D242" s="1"/>
      <c r="E242" s="1"/>
      <c r="F242" s="1"/>
      <c r="G242" s="1"/>
      <c r="H242" s="1"/>
      <c r="I242">
        <v>70.013999999999996</v>
      </c>
      <c r="J242">
        <v>-25.18</v>
      </c>
      <c r="N242" s="1"/>
      <c r="O242" s="1">
        <v>1.8251851851851852</v>
      </c>
    </row>
    <row r="243" spans="1:15">
      <c r="A243">
        <f t="shared" si="27"/>
        <v>2408.17</v>
      </c>
      <c r="B243">
        <v>8716</v>
      </c>
      <c r="C243" s="1"/>
      <c r="D243" s="1"/>
      <c r="E243" s="1"/>
      <c r="F243" s="1"/>
      <c r="G243" s="1"/>
      <c r="H243" s="1"/>
      <c r="I243">
        <v>67.748999999999995</v>
      </c>
      <c r="J243">
        <v>-47.3</v>
      </c>
      <c r="N243" s="1"/>
      <c r="O243" s="1">
        <v>1.9970370370370372</v>
      </c>
    </row>
    <row r="244" spans="1:15">
      <c r="A244">
        <f t="shared" si="27"/>
        <v>2408.67</v>
      </c>
      <c r="B244">
        <v>8954</v>
      </c>
      <c r="C244" s="1"/>
      <c r="D244" s="1"/>
      <c r="E244" s="1"/>
      <c r="F244" s="1"/>
      <c r="G244" s="1"/>
      <c r="H244" s="1"/>
      <c r="I244">
        <v>65.793000000000006</v>
      </c>
      <c r="J244">
        <v>-52.53</v>
      </c>
      <c r="N244" s="1"/>
      <c r="O244" s="1">
        <v>2.1733333333333333</v>
      </c>
    </row>
    <row r="245" spans="1:15">
      <c r="A245">
        <f t="shared" si="27"/>
        <v>2409.17</v>
      </c>
      <c r="B245">
        <v>9200</v>
      </c>
      <c r="C245" s="1"/>
      <c r="D245" s="1"/>
      <c r="E245" s="1"/>
      <c r="F245" s="1"/>
      <c r="G245" s="1"/>
      <c r="H245" s="1"/>
      <c r="I245">
        <v>64.477000000000004</v>
      </c>
      <c r="J245">
        <v>-48.48</v>
      </c>
      <c r="N245" s="1"/>
      <c r="O245" s="1">
        <v>2.2736842105263158</v>
      </c>
    </row>
    <row r="246" spans="1:15">
      <c r="A246">
        <f t="shared" si="27"/>
        <v>2409.67</v>
      </c>
      <c r="B246">
        <v>9452</v>
      </c>
      <c r="C246" s="1"/>
      <c r="D246" s="1"/>
      <c r="E246" s="1"/>
      <c r="F246" s="1"/>
      <c r="G246" s="1"/>
      <c r="H246" s="1"/>
      <c r="I246">
        <v>63.795000000000002</v>
      </c>
      <c r="J246">
        <v>-50.95</v>
      </c>
      <c r="N246" s="1"/>
      <c r="O246" s="1">
        <v>2.3621052631578947</v>
      </c>
    </row>
    <row r="247" spans="1:15">
      <c r="A247">
        <f t="shared" si="27"/>
        <v>2410.17</v>
      </c>
      <c r="B247">
        <v>9710</v>
      </c>
      <c r="C247" s="1"/>
      <c r="D247" s="1"/>
      <c r="E247" s="1"/>
      <c r="F247" s="1"/>
      <c r="G247" s="1"/>
      <c r="H247" s="1"/>
      <c r="I247">
        <v>63.545999999999999</v>
      </c>
      <c r="J247">
        <v>-58.35</v>
      </c>
      <c r="N247" s="1"/>
      <c r="O247" s="1">
        <v>2.4</v>
      </c>
    </row>
    <row r="248" spans="1:15">
      <c r="A248">
        <f t="shared" si="27"/>
        <v>2410.67</v>
      </c>
      <c r="B248">
        <v>9976</v>
      </c>
      <c r="C248" s="1"/>
      <c r="D248" s="1"/>
      <c r="E248" s="1"/>
      <c r="F248" s="1"/>
      <c r="G248" s="1"/>
      <c r="H248" s="1"/>
      <c r="I248">
        <v>63.445999999999998</v>
      </c>
      <c r="J248">
        <v>-61.26</v>
      </c>
      <c r="N248" s="1"/>
      <c r="O248" s="1">
        <v>2.4</v>
      </c>
    </row>
    <row r="249" spans="1:15">
      <c r="A249">
        <f t="shared" si="27"/>
        <v>2411.17</v>
      </c>
      <c r="B249">
        <v>10250</v>
      </c>
      <c r="C249" s="1"/>
      <c r="D249" s="1"/>
      <c r="E249" s="1"/>
      <c r="F249" s="1"/>
      <c r="G249" s="1"/>
      <c r="H249" s="1"/>
      <c r="I249">
        <v>63.042999999999999</v>
      </c>
      <c r="J249">
        <v>-64.650000000000006</v>
      </c>
      <c r="N249" s="1"/>
      <c r="O249" s="1">
        <v>2.4</v>
      </c>
    </row>
    <row r="250" spans="1:15">
      <c r="A250">
        <f t="shared" si="27"/>
        <v>2411.67</v>
      </c>
      <c r="B250">
        <v>10530</v>
      </c>
      <c r="C250" s="1"/>
      <c r="D250" s="1"/>
      <c r="E250" s="1"/>
      <c r="F250" s="1"/>
      <c r="G250" s="1"/>
      <c r="H250" s="1"/>
      <c r="I250">
        <v>62.225999999999999</v>
      </c>
      <c r="J250">
        <v>-76.47</v>
      </c>
      <c r="N250" s="1"/>
      <c r="O250" s="1">
        <v>2.4</v>
      </c>
    </row>
    <row r="251" spans="1:15">
      <c r="A251">
        <f t="shared" si="27"/>
        <v>2412.17</v>
      </c>
      <c r="B251">
        <v>10818</v>
      </c>
      <c r="C251" s="1"/>
      <c r="D251" s="1"/>
      <c r="E251" s="1"/>
      <c r="F251" s="1"/>
      <c r="G251" s="1"/>
      <c r="H251" s="1"/>
      <c r="I251">
        <v>61.554000000000002</v>
      </c>
      <c r="J251">
        <v>-87.83</v>
      </c>
      <c r="N251" s="1"/>
      <c r="O251" s="1">
        <v>2.401176470588235</v>
      </c>
    </row>
    <row r="252" spans="1:15">
      <c r="A252">
        <f t="shared" si="27"/>
        <v>2412.67</v>
      </c>
      <c r="B252">
        <v>11114</v>
      </c>
      <c r="C252" s="1"/>
      <c r="D252" s="1"/>
      <c r="E252" s="1"/>
      <c r="F252" s="1"/>
      <c r="G252" s="1"/>
      <c r="H252" s="1"/>
      <c r="I252">
        <v>61.646999999999998</v>
      </c>
      <c r="J252">
        <v>-87.34</v>
      </c>
      <c r="N252" s="1"/>
      <c r="O252" s="1">
        <v>2.4447058823529413</v>
      </c>
    </row>
    <row r="253" spans="1:15">
      <c r="A253">
        <f t="shared" si="27"/>
        <v>2413.17</v>
      </c>
      <c r="B253">
        <v>11418</v>
      </c>
      <c r="C253" s="1"/>
      <c r="D253" s="1"/>
      <c r="E253" s="1"/>
      <c r="F253" s="1"/>
      <c r="G253" s="1"/>
      <c r="H253" s="1"/>
      <c r="I253">
        <v>62.637</v>
      </c>
      <c r="J253">
        <v>-80.31</v>
      </c>
      <c r="N253" s="1"/>
      <c r="O253" s="1">
        <v>2.4894117647058822</v>
      </c>
    </row>
    <row r="254" spans="1:15">
      <c r="A254">
        <f t="shared" si="27"/>
        <v>2413.67</v>
      </c>
      <c r="B254">
        <v>11730</v>
      </c>
      <c r="C254" s="1"/>
      <c r="D254" s="1"/>
      <c r="E254" s="1"/>
      <c r="F254" s="1"/>
      <c r="G254" s="1"/>
      <c r="H254" s="1"/>
      <c r="I254">
        <v>63.975999999999999</v>
      </c>
      <c r="J254">
        <v>-77.87</v>
      </c>
      <c r="N254" s="1"/>
      <c r="O254" s="1">
        <v>2.5</v>
      </c>
    </row>
    <row r="255" spans="1:15">
      <c r="A255">
        <f t="shared" si="27"/>
        <v>2414.17</v>
      </c>
      <c r="B255">
        <v>12052</v>
      </c>
      <c r="C255" s="1"/>
      <c r="D255" s="1"/>
      <c r="E255" s="1"/>
      <c r="F255" s="1"/>
      <c r="G255" s="1"/>
      <c r="H255" s="1"/>
      <c r="I255">
        <v>64.765000000000001</v>
      </c>
      <c r="J255">
        <v>-82.38</v>
      </c>
      <c r="N255" s="1"/>
      <c r="O255" s="1">
        <v>2.5</v>
      </c>
    </row>
    <row r="256" spans="1:15">
      <c r="A256">
        <f t="shared" si="27"/>
        <v>2414.67</v>
      </c>
      <c r="B256">
        <v>12382</v>
      </c>
      <c r="C256" s="1"/>
      <c r="D256" s="1"/>
      <c r="E256" s="1"/>
      <c r="F256" s="1"/>
      <c r="G256" s="1"/>
      <c r="H256" s="1"/>
      <c r="I256">
        <v>64.587999999999994</v>
      </c>
      <c r="J256">
        <v>-83.74</v>
      </c>
      <c r="N256" s="1"/>
      <c r="O256" s="1">
        <v>2.6038461538461539</v>
      </c>
    </row>
    <row r="257" spans="1:15">
      <c r="A257">
        <f t="shared" si="27"/>
        <v>2415.17</v>
      </c>
      <c r="B257">
        <v>12722</v>
      </c>
      <c r="C257" s="1"/>
      <c r="D257" s="1"/>
      <c r="E257" s="1"/>
      <c r="F257" s="1"/>
      <c r="G257" s="1"/>
      <c r="H257" s="1"/>
      <c r="I257">
        <v>63.640999999999998</v>
      </c>
      <c r="J257">
        <v>-70.959999999999994</v>
      </c>
      <c r="N257" s="1"/>
      <c r="O257" s="1">
        <v>2.821794871794872</v>
      </c>
    </row>
    <row r="258" spans="1:15">
      <c r="A258">
        <f t="shared" si="27"/>
        <v>2415.67</v>
      </c>
      <c r="B258">
        <v>13070</v>
      </c>
      <c r="C258" s="1"/>
      <c r="D258" s="1"/>
      <c r="E258" s="1"/>
      <c r="F258" s="1"/>
      <c r="G258" s="1"/>
      <c r="H258" s="1"/>
      <c r="I258">
        <v>62.186</v>
      </c>
      <c r="J258">
        <v>-57.25</v>
      </c>
      <c r="N258" s="1"/>
      <c r="O258" s="1">
        <v>3.0168674698795179</v>
      </c>
    </row>
    <row r="259" spans="1:15">
      <c r="A259">
        <f t="shared" si="27"/>
        <v>2416.17</v>
      </c>
      <c r="B259">
        <v>13428</v>
      </c>
      <c r="C259" s="1"/>
      <c r="D259" s="1"/>
      <c r="E259" s="1"/>
      <c r="F259" s="1"/>
      <c r="G259" s="1"/>
      <c r="H259" s="1"/>
      <c r="I259">
        <v>60.335999999999999</v>
      </c>
      <c r="J259">
        <v>-69.58</v>
      </c>
      <c r="N259" s="1"/>
      <c r="O259" s="1">
        <v>3.1031325301204822</v>
      </c>
    </row>
    <row r="260" spans="1:15">
      <c r="A260">
        <f t="shared" si="27"/>
        <v>2416.67</v>
      </c>
      <c r="B260">
        <v>13796</v>
      </c>
      <c r="C260" s="1"/>
      <c r="D260" s="1"/>
      <c r="E260" s="1"/>
      <c r="F260" s="1"/>
      <c r="G260" s="1"/>
      <c r="H260" s="1"/>
      <c r="I260">
        <v>58.448999999999998</v>
      </c>
      <c r="J260">
        <v>-113.3</v>
      </c>
      <c r="N260" s="1"/>
      <c r="O260" s="1">
        <v>3.1918072289156627</v>
      </c>
    </row>
    <row r="261" spans="1:15">
      <c r="A261">
        <f t="shared" si="27"/>
        <v>2417.17</v>
      </c>
      <c r="B261">
        <v>14174</v>
      </c>
      <c r="C261" s="1"/>
      <c r="D261" s="1"/>
      <c r="E261" s="1"/>
      <c r="F261" s="1"/>
      <c r="G261" s="1"/>
      <c r="H261" s="1"/>
      <c r="I261">
        <v>57.253</v>
      </c>
      <c r="J261">
        <v>-171.4</v>
      </c>
      <c r="N261" s="1"/>
      <c r="O261" s="1">
        <v>3.2790804597701149</v>
      </c>
    </row>
    <row r="262" spans="1:15">
      <c r="A262">
        <f t="shared" si="27"/>
        <v>2417.67</v>
      </c>
      <c r="B262">
        <v>14560</v>
      </c>
      <c r="C262" s="1"/>
      <c r="D262" s="1"/>
      <c r="E262" s="1"/>
      <c r="F262" s="1"/>
      <c r="G262" s="1"/>
      <c r="H262" s="1"/>
      <c r="I262">
        <v>57.509</v>
      </c>
      <c r="J262">
        <v>141.11000000000001</v>
      </c>
      <c r="N262" s="1"/>
      <c r="O262" s="1">
        <v>3.367816091954023</v>
      </c>
    </row>
    <row r="263" spans="1:15">
      <c r="A263">
        <f t="shared" si="27"/>
        <v>2418.17</v>
      </c>
      <c r="B263">
        <v>14960</v>
      </c>
      <c r="C263" s="1"/>
      <c r="D263" s="1"/>
      <c r="E263" s="1"/>
      <c r="F263" s="1"/>
      <c r="G263" s="1"/>
      <c r="H263" s="1"/>
      <c r="I263">
        <v>59.283000000000001</v>
      </c>
      <c r="J263">
        <v>112.96</v>
      </c>
      <c r="N263" s="1"/>
      <c r="O263" s="1">
        <v>3.4553191489361703</v>
      </c>
    </row>
    <row r="264" spans="1:15">
      <c r="A264">
        <f t="shared" si="27"/>
        <v>2418.67</v>
      </c>
      <c r="B264">
        <v>15368</v>
      </c>
      <c r="C264" s="1"/>
      <c r="D264" s="1"/>
      <c r="E264" s="1"/>
      <c r="F264" s="1"/>
      <c r="G264" s="1"/>
      <c r="H264" s="1"/>
      <c r="I264">
        <v>61.529000000000003</v>
      </c>
      <c r="J264">
        <v>78.751000000000005</v>
      </c>
      <c r="N264" s="1"/>
      <c r="O264" s="1">
        <v>3.5421276595744682</v>
      </c>
    </row>
    <row r="265" spans="1:15">
      <c r="A265">
        <f t="shared" si="27"/>
        <v>2419.17</v>
      </c>
      <c r="B265">
        <v>15790</v>
      </c>
      <c r="C265" s="1"/>
      <c r="D265" s="1"/>
      <c r="E265" s="1"/>
      <c r="F265" s="1"/>
      <c r="G265" s="1"/>
      <c r="H265" s="1"/>
      <c r="I265">
        <v>62.698</v>
      </c>
      <c r="J265">
        <v>31.721</v>
      </c>
      <c r="N265" s="1"/>
      <c r="O265" s="1">
        <v>3.6</v>
      </c>
    </row>
    <row r="266" spans="1:15">
      <c r="A266">
        <f t="shared" si="27"/>
        <v>2419.67</v>
      </c>
      <c r="B266">
        <v>16222</v>
      </c>
      <c r="C266" s="1"/>
      <c r="D266" s="1"/>
      <c r="E266" s="1"/>
      <c r="F266" s="1"/>
      <c r="G266" s="1"/>
      <c r="H266" s="1"/>
      <c r="I266">
        <v>61.792999999999999</v>
      </c>
      <c r="J266">
        <v>-11.7</v>
      </c>
      <c r="N266" s="1"/>
      <c r="O266" s="1">
        <v>3.6</v>
      </c>
    </row>
    <row r="267" spans="1:15">
      <c r="A267">
        <f t="shared" si="27"/>
        <v>2420.17</v>
      </c>
      <c r="B267">
        <v>16666</v>
      </c>
      <c r="C267" s="1"/>
      <c r="D267" s="1"/>
      <c r="E267" s="1"/>
      <c r="F267" s="1"/>
      <c r="G267" s="1"/>
      <c r="H267" s="1"/>
      <c r="I267">
        <v>59.261000000000003</v>
      </c>
      <c r="J267">
        <v>-59.16</v>
      </c>
      <c r="N267" s="1"/>
      <c r="O267" s="1">
        <v>3.5966037735849059</v>
      </c>
    </row>
    <row r="268" spans="1:15">
      <c r="A268">
        <f t="shared" si="27"/>
        <v>2420.67</v>
      </c>
      <c r="B268">
        <v>17122</v>
      </c>
      <c r="C268" s="1"/>
      <c r="D268" s="1"/>
      <c r="E268" s="1"/>
      <c r="F268" s="1"/>
      <c r="G268" s="1"/>
      <c r="H268" s="1"/>
      <c r="I268">
        <v>56.796999999999997</v>
      </c>
      <c r="J268">
        <v>-104.5</v>
      </c>
      <c r="N268" s="1"/>
      <c r="O268" s="1">
        <v>3.5535849056603772</v>
      </c>
    </row>
    <row r="269" spans="1:15">
      <c r="A269">
        <f t="shared" si="27"/>
        <v>2421.17</v>
      </c>
      <c r="B269">
        <v>17592</v>
      </c>
      <c r="C269" s="1"/>
      <c r="D269" s="1"/>
      <c r="E269" s="1"/>
      <c r="F269" s="1"/>
      <c r="G269" s="1"/>
      <c r="H269" s="1"/>
      <c r="I269">
        <v>55.610999999999997</v>
      </c>
      <c r="J269">
        <v>-135.4</v>
      </c>
      <c r="N269" s="1"/>
      <c r="O269" s="1">
        <v>3.5092452830188678</v>
      </c>
    </row>
    <row r="270" spans="1:15">
      <c r="A270">
        <f t="shared" si="27"/>
        <v>2421.67</v>
      </c>
      <c r="B270">
        <v>18074</v>
      </c>
      <c r="C270" s="1"/>
      <c r="D270" s="1"/>
      <c r="E270" s="1"/>
      <c r="F270" s="1"/>
      <c r="G270" s="1"/>
      <c r="H270" s="1"/>
      <c r="I270">
        <v>55.457999999999998</v>
      </c>
      <c r="J270">
        <v>-163.4</v>
      </c>
      <c r="N270" s="1"/>
      <c r="O270" s="1">
        <v>3.5</v>
      </c>
    </row>
    <row r="271" spans="1:15">
      <c r="A271">
        <f t="shared" si="27"/>
        <v>2422.17</v>
      </c>
      <c r="B271">
        <v>18568</v>
      </c>
      <c r="C271" s="1"/>
      <c r="D271" s="1"/>
      <c r="E271" s="1"/>
      <c r="F271" s="1"/>
      <c r="G271" s="1"/>
      <c r="H271" s="1"/>
      <c r="I271">
        <v>55.253999999999998</v>
      </c>
      <c r="J271">
        <v>149.69</v>
      </c>
      <c r="N271" s="1">
        <v>-0.16866335073725625</v>
      </c>
      <c r="O271" s="1">
        <v>3.5</v>
      </c>
    </row>
    <row r="272" spans="1:15">
      <c r="A272">
        <f t="shared" si="27"/>
        <v>2422.67</v>
      </c>
      <c r="B272">
        <v>19076</v>
      </c>
      <c r="C272" s="1"/>
      <c r="D272" s="1"/>
      <c r="E272" s="1"/>
      <c r="F272" s="1"/>
      <c r="G272" s="1"/>
      <c r="H272" s="1"/>
      <c r="I272">
        <v>54.247</v>
      </c>
      <c r="J272">
        <v>88.558999999999997</v>
      </c>
      <c r="N272" s="1">
        <v>-0.34066678597560685</v>
      </c>
      <c r="O272" s="1">
        <v>3.5227350427350426</v>
      </c>
    </row>
    <row r="273" spans="1:15">
      <c r="A273">
        <f t="shared" si="27"/>
        <v>2423.17</v>
      </c>
      <c r="B273">
        <v>19598</v>
      </c>
      <c r="C273" s="1"/>
      <c r="D273" s="1"/>
      <c r="E273" s="1"/>
      <c r="F273" s="1"/>
      <c r="G273" s="1"/>
      <c r="H273" s="1"/>
      <c r="I273">
        <v>52.941000000000003</v>
      </c>
      <c r="J273">
        <v>31.744</v>
      </c>
      <c r="N273" s="1">
        <v>-0.69524212518423834</v>
      </c>
      <c r="O273" s="1">
        <v>3.5673504273504273</v>
      </c>
    </row>
    <row r="274" spans="1:15">
      <c r="A274">
        <f t="shared" si="27"/>
        <v>2423.67</v>
      </c>
      <c r="B274">
        <v>20000</v>
      </c>
      <c r="C274" s="1"/>
      <c r="D274" s="1"/>
      <c r="E274" s="1"/>
      <c r="F274" s="1"/>
      <c r="G274" s="1"/>
      <c r="H274" s="1"/>
      <c r="I274">
        <v>51.965000000000003</v>
      </c>
      <c r="J274">
        <v>-16.14</v>
      </c>
      <c r="N274" s="1">
        <v>-1.0649102390645022</v>
      </c>
      <c r="O274" s="1">
        <v>3.6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274"/>
  <sheetViews>
    <sheetView zoomScaleNormal="100" workbookViewId="0">
      <selection activeCell="A16" sqref="A16"/>
    </sheetView>
  </sheetViews>
  <sheetFormatPr baseColWidth="10" defaultRowHeight="15"/>
  <sheetData>
    <row r="1" spans="3:28">
      <c r="N1" t="s">
        <v>9</v>
      </c>
      <c r="O1" t="s">
        <v>24</v>
      </c>
      <c r="P1">
        <v>0.125</v>
      </c>
      <c r="Q1">
        <v>0.125</v>
      </c>
      <c r="R1">
        <v>0.125</v>
      </c>
      <c r="T1" t="s">
        <v>33</v>
      </c>
      <c r="U1" t="s">
        <v>35</v>
      </c>
      <c r="V1">
        <v>1.28</v>
      </c>
      <c r="W1">
        <v>1.28</v>
      </c>
      <c r="X1">
        <v>1.28</v>
      </c>
    </row>
    <row r="2" spans="3:28">
      <c r="N2" t="s">
        <v>11</v>
      </c>
      <c r="O2" t="s">
        <v>10</v>
      </c>
      <c r="P2">
        <f t="shared" ref="P2:Q2" si="0">+P1*23</f>
        <v>2.875</v>
      </c>
      <c r="Q2">
        <f t="shared" si="0"/>
        <v>2.875</v>
      </c>
      <c r="R2">
        <f>+R1*23</f>
        <v>2.875</v>
      </c>
      <c r="T2" t="s">
        <v>32</v>
      </c>
      <c r="U2" t="s">
        <v>35</v>
      </c>
      <c r="V2">
        <v>1.35</v>
      </c>
      <c r="W2">
        <v>1.35</v>
      </c>
      <c r="X2">
        <v>1.35</v>
      </c>
    </row>
    <row r="3" spans="3:28">
      <c r="N3" t="s">
        <v>12</v>
      </c>
      <c r="O3" t="s">
        <v>10</v>
      </c>
      <c r="P3" s="2">
        <f t="shared" ref="P3:Q3" si="1">2^0.5*2</f>
        <v>2.8284271247461903</v>
      </c>
      <c r="Q3" s="2">
        <f t="shared" si="1"/>
        <v>2.8284271247461903</v>
      </c>
      <c r="R3" s="2">
        <f>2^0.5*2</f>
        <v>2.8284271247461903</v>
      </c>
      <c r="T3" t="s">
        <v>34</v>
      </c>
      <c r="U3" t="s">
        <v>35</v>
      </c>
      <c r="V3">
        <v>1</v>
      </c>
      <c r="W3">
        <v>1</v>
      </c>
      <c r="X3">
        <v>1</v>
      </c>
    </row>
    <row r="4" spans="3:28">
      <c r="N4" t="s">
        <v>13</v>
      </c>
      <c r="O4" t="s">
        <v>14</v>
      </c>
      <c r="P4" s="3">
        <f t="shared" ref="P4:Q4" si="2">20*LOG(P3/P2)</f>
        <v>-0.14185711059354938</v>
      </c>
      <c r="Q4" s="3">
        <f t="shared" si="2"/>
        <v>-0.14185711059354938</v>
      </c>
      <c r="R4" s="3">
        <f>20*LOG(R3/R2)</f>
        <v>-0.14185711059354938</v>
      </c>
      <c r="T4" t="s">
        <v>36</v>
      </c>
      <c r="U4" t="s">
        <v>35</v>
      </c>
      <c r="V4" s="4">
        <f>((V1-V2)^2+V3^2)^0.5</f>
        <v>1.0024470060806208</v>
      </c>
      <c r="W4" s="4">
        <f>((W1-W2)^2+W3^2)^0.5</f>
        <v>1.0024470060806208</v>
      </c>
      <c r="X4" s="4">
        <f>((X1-X2)^2+X3^2)^0.5</f>
        <v>1.0024470060806208</v>
      </c>
    </row>
    <row r="5" spans="3:28">
      <c r="T5" t="s">
        <v>38</v>
      </c>
      <c r="U5" t="s">
        <v>37</v>
      </c>
      <c r="V5">
        <v>343</v>
      </c>
      <c r="W5">
        <v>343</v>
      </c>
      <c r="X5">
        <v>343</v>
      </c>
    </row>
    <row r="6" spans="3:28">
      <c r="N6" t="s">
        <v>15</v>
      </c>
      <c r="O6" t="s">
        <v>14</v>
      </c>
      <c r="P6" s="1">
        <f t="shared" ref="P6:Q6" si="3">20*LOG(202)</f>
        <v>46.10702738893248</v>
      </c>
      <c r="Q6" s="1">
        <f t="shared" si="3"/>
        <v>46.10702738893248</v>
      </c>
      <c r="R6" s="1">
        <f>20*LOG(202)</f>
        <v>46.10702738893248</v>
      </c>
      <c r="T6" t="s">
        <v>39</v>
      </c>
      <c r="V6">
        <v>1</v>
      </c>
      <c r="W6">
        <v>1</v>
      </c>
      <c r="X6">
        <v>1</v>
      </c>
    </row>
    <row r="7" spans="3:28">
      <c r="N7" t="s">
        <v>16</v>
      </c>
      <c r="O7" t="s">
        <v>14</v>
      </c>
      <c r="P7">
        <v>-10</v>
      </c>
      <c r="Q7">
        <v>-10</v>
      </c>
      <c r="R7">
        <v>-12</v>
      </c>
    </row>
    <row r="8" spans="3:28">
      <c r="N8" t="s">
        <v>17</v>
      </c>
      <c r="O8" t="s">
        <v>14</v>
      </c>
      <c r="P8" s="1">
        <f t="shared" ref="P8:Q8" si="4">+P6+P7</f>
        <v>36.10702738893248</v>
      </c>
      <c r="Q8" s="1">
        <f t="shared" si="4"/>
        <v>36.10702738893248</v>
      </c>
      <c r="R8" s="1">
        <f>+R6+R7</f>
        <v>34.10702738893248</v>
      </c>
    </row>
    <row r="9" spans="3:28">
      <c r="N9" t="s">
        <v>18</v>
      </c>
      <c r="O9" t="s">
        <v>19</v>
      </c>
      <c r="P9" s="1">
        <f t="shared" ref="P9:Q9" si="5">10^(P8/20)</f>
        <v>63.878008735401302</v>
      </c>
      <c r="Q9" s="1">
        <f t="shared" si="5"/>
        <v>63.878008735401302</v>
      </c>
      <c r="R9" s="1">
        <f>10^(R8/20)</f>
        <v>50.740105916493576</v>
      </c>
    </row>
    <row r="10" spans="3:28">
      <c r="N10" t="s">
        <v>21</v>
      </c>
      <c r="O10" t="s">
        <v>22</v>
      </c>
      <c r="P10">
        <v>1.4200000000000001E-2</v>
      </c>
      <c r="Q10">
        <v>1.4200000000000001E-2</v>
      </c>
      <c r="R10">
        <v>1.4200000000000001E-2</v>
      </c>
    </row>
    <row r="11" spans="3:28">
      <c r="O11" t="s">
        <v>20</v>
      </c>
      <c r="P11">
        <v>7.8</v>
      </c>
      <c r="Q11">
        <v>7.8</v>
      </c>
      <c r="R11">
        <v>9</v>
      </c>
    </row>
    <row r="12" spans="3:28">
      <c r="O12" t="s">
        <v>23</v>
      </c>
      <c r="P12" s="2">
        <f t="shared" ref="P12:Q12" si="6">1/(P11/P1*P9*P10)</f>
        <v>1.7667524266232901E-2</v>
      </c>
      <c r="Q12" s="2">
        <f t="shared" si="6"/>
        <v>1.7667524266232901E-2</v>
      </c>
      <c r="R12" s="2">
        <f>1/(R11/R1*R9*R10)</f>
        <v>1.9276482560617262E-2</v>
      </c>
    </row>
    <row r="13" spans="3:28">
      <c r="N13" t="s">
        <v>28</v>
      </c>
      <c r="P13" t="s">
        <v>55</v>
      </c>
      <c r="Q13" t="s">
        <v>55</v>
      </c>
      <c r="R13" t="s">
        <v>45</v>
      </c>
    </row>
    <row r="14" spans="3:28">
      <c r="N14" t="s">
        <v>29</v>
      </c>
      <c r="O14" t="s">
        <v>30</v>
      </c>
      <c r="P14">
        <v>136.809</v>
      </c>
      <c r="Q14">
        <v>806.38599999999997</v>
      </c>
    </row>
    <row r="16" spans="3:28">
      <c r="C16" t="s">
        <v>97</v>
      </c>
      <c r="D16" t="s">
        <v>0</v>
      </c>
      <c r="E16" t="s">
        <v>97</v>
      </c>
      <c r="F16" t="s">
        <v>0</v>
      </c>
      <c r="G16" t="s">
        <v>97</v>
      </c>
      <c r="H16" t="s">
        <v>0</v>
      </c>
      <c r="I16" t="s">
        <v>3</v>
      </c>
      <c r="J16" t="s">
        <v>0</v>
      </c>
      <c r="N16" t="s">
        <v>1</v>
      </c>
      <c r="O16" t="s">
        <v>2</v>
      </c>
      <c r="P16" t="s">
        <v>3</v>
      </c>
      <c r="Q16" t="s">
        <v>3</v>
      </c>
      <c r="R16" t="s">
        <v>3</v>
      </c>
      <c r="V16" t="s">
        <v>0</v>
      </c>
      <c r="W16" t="s">
        <v>0</v>
      </c>
      <c r="X16" t="s">
        <v>0</v>
      </c>
      <c r="Z16" s="5"/>
      <c r="AB16" s="5"/>
    </row>
    <row r="17" spans="1:24">
      <c r="B17" t="s">
        <v>4</v>
      </c>
      <c r="C17" s="6" t="s">
        <v>46</v>
      </c>
      <c r="D17" t="str">
        <f>+C17</f>
        <v>B80-8 (1)</v>
      </c>
      <c r="E17" s="6" t="s">
        <v>47</v>
      </c>
      <c r="F17" t="str">
        <f>+E17</f>
        <v>B80-8 (2)</v>
      </c>
      <c r="G17" s="6"/>
      <c r="H17">
        <f>+G17</f>
        <v>0</v>
      </c>
      <c r="I17" s="6" t="s">
        <v>48</v>
      </c>
      <c r="J17" t="str">
        <f>+I17</f>
        <v>B80-8 soll</v>
      </c>
      <c r="P17" t="str">
        <f>+C17</f>
        <v>B80-8 (1)</v>
      </c>
      <c r="Q17" t="str">
        <f>+E17</f>
        <v>B80-8 (2)</v>
      </c>
      <c r="R17">
        <f>+G17</f>
        <v>0</v>
      </c>
      <c r="V17" t="str">
        <f>+C17</f>
        <v>B80-8 (1)</v>
      </c>
      <c r="W17" t="str">
        <f>+E17</f>
        <v>B80-8 (2)</v>
      </c>
      <c r="X17">
        <f>+G17</f>
        <v>0</v>
      </c>
    </row>
    <row r="18" spans="1:24">
      <c r="A18">
        <v>806.38599999999997</v>
      </c>
      <c r="B18">
        <v>20</v>
      </c>
      <c r="I18">
        <v>43.405999999999999</v>
      </c>
      <c r="J18">
        <v>176.44</v>
      </c>
      <c r="N18" s="1"/>
      <c r="O18" s="1">
        <v>0</v>
      </c>
      <c r="P18" t="e">
        <f>20*LOG(P$12*$C18/0.00002)-$N18-$O18</f>
        <v>#NUM!</v>
      </c>
      <c r="Q18" t="e">
        <f t="shared" ref="Q18:Q81" si="7">20*LOG(Q$12*$E18/0.00002)-$N18-$O18</f>
        <v>#NUM!</v>
      </c>
      <c r="R18" t="e">
        <f t="shared" ref="R18:R81" si="8">20*LOG(R$12*$G18/0.00002)-$N18-$O18</f>
        <v>#NUM!</v>
      </c>
    </row>
    <row r="19" spans="1:24">
      <c r="A19">
        <f>+A18+0.5</f>
        <v>806.88599999999997</v>
      </c>
      <c r="B19">
        <v>20.5</v>
      </c>
      <c r="I19">
        <v>43.881</v>
      </c>
      <c r="J19">
        <v>176.34</v>
      </c>
      <c r="N19" s="1"/>
      <c r="O19" s="1">
        <v>0</v>
      </c>
      <c r="P19" t="e">
        <f t="shared" ref="P19:P81" si="9">20*LOG(P$12*$C19/0.00002)-$N19-$O19</f>
        <v>#NUM!</v>
      </c>
      <c r="Q19" t="e">
        <f t="shared" si="7"/>
        <v>#NUM!</v>
      </c>
      <c r="R19" t="e">
        <f t="shared" si="8"/>
        <v>#NUM!</v>
      </c>
    </row>
    <row r="20" spans="1:24">
      <c r="A20">
        <f t="shared" ref="A20:A83" si="10">+A19+0.5</f>
        <v>807.38599999999997</v>
      </c>
      <c r="B20">
        <v>21.1</v>
      </c>
      <c r="I20">
        <v>44.356999999999999</v>
      </c>
      <c r="J20">
        <v>176.23</v>
      </c>
      <c r="N20" s="1"/>
      <c r="O20" s="1">
        <v>0</v>
      </c>
      <c r="P20" t="e">
        <f t="shared" si="9"/>
        <v>#NUM!</v>
      </c>
      <c r="Q20" t="e">
        <f t="shared" si="7"/>
        <v>#NUM!</v>
      </c>
      <c r="R20" t="e">
        <f t="shared" si="8"/>
        <v>#NUM!</v>
      </c>
    </row>
    <row r="21" spans="1:24">
      <c r="A21">
        <f t="shared" si="10"/>
        <v>807.88599999999997</v>
      </c>
      <c r="B21">
        <v>21.6</v>
      </c>
      <c r="I21">
        <v>44.832999999999998</v>
      </c>
      <c r="J21">
        <v>176.12</v>
      </c>
      <c r="N21" s="1"/>
      <c r="O21" s="1">
        <v>0</v>
      </c>
      <c r="P21" t="e">
        <f t="shared" si="9"/>
        <v>#NUM!</v>
      </c>
      <c r="Q21" t="e">
        <f t="shared" si="7"/>
        <v>#NUM!</v>
      </c>
      <c r="R21" t="e">
        <f t="shared" si="8"/>
        <v>#NUM!</v>
      </c>
    </row>
    <row r="22" spans="1:24">
      <c r="A22">
        <f t="shared" si="10"/>
        <v>808.38599999999997</v>
      </c>
      <c r="B22">
        <v>22.2</v>
      </c>
      <c r="I22">
        <v>45.31</v>
      </c>
      <c r="J22">
        <v>176.01</v>
      </c>
      <c r="N22" s="1"/>
      <c r="O22" s="1">
        <v>0</v>
      </c>
      <c r="P22" t="e">
        <f t="shared" si="9"/>
        <v>#NUM!</v>
      </c>
      <c r="Q22" t="e">
        <f t="shared" si="7"/>
        <v>#NUM!</v>
      </c>
      <c r="R22" t="e">
        <f t="shared" si="8"/>
        <v>#NUM!</v>
      </c>
    </row>
    <row r="23" spans="1:24">
      <c r="A23">
        <f t="shared" si="10"/>
        <v>808.88599999999997</v>
      </c>
      <c r="B23">
        <v>22.9</v>
      </c>
      <c r="I23">
        <v>45.786999999999999</v>
      </c>
      <c r="J23">
        <v>175.89</v>
      </c>
      <c r="N23" s="1"/>
      <c r="O23" s="1">
        <v>0</v>
      </c>
      <c r="P23" t="e">
        <f t="shared" si="9"/>
        <v>#NUM!</v>
      </c>
      <c r="Q23" t="e">
        <f t="shared" si="7"/>
        <v>#NUM!</v>
      </c>
      <c r="R23" t="e">
        <f t="shared" si="8"/>
        <v>#NUM!</v>
      </c>
    </row>
    <row r="24" spans="1:24">
      <c r="A24">
        <f t="shared" si="10"/>
        <v>809.38599999999997</v>
      </c>
      <c r="B24">
        <v>23.5</v>
      </c>
      <c r="I24">
        <v>46.264000000000003</v>
      </c>
      <c r="J24">
        <v>175.77</v>
      </c>
      <c r="N24" s="1"/>
      <c r="O24" s="1">
        <v>0</v>
      </c>
      <c r="P24" t="e">
        <f t="shared" si="9"/>
        <v>#NUM!</v>
      </c>
      <c r="Q24" t="e">
        <f t="shared" si="7"/>
        <v>#NUM!</v>
      </c>
      <c r="R24" t="e">
        <f t="shared" si="8"/>
        <v>#NUM!</v>
      </c>
    </row>
    <row r="25" spans="1:24">
      <c r="A25">
        <f t="shared" si="10"/>
        <v>809.88599999999997</v>
      </c>
      <c r="B25">
        <v>24.1</v>
      </c>
      <c r="I25">
        <v>46.741999999999997</v>
      </c>
      <c r="J25">
        <v>175.64</v>
      </c>
      <c r="N25" s="1"/>
      <c r="O25" s="1">
        <v>0</v>
      </c>
      <c r="P25" t="e">
        <f t="shared" si="9"/>
        <v>#NUM!</v>
      </c>
      <c r="Q25" t="e">
        <f t="shared" si="7"/>
        <v>#NUM!</v>
      </c>
      <c r="R25" t="e">
        <f t="shared" si="8"/>
        <v>#NUM!</v>
      </c>
    </row>
    <row r="26" spans="1:24">
      <c r="A26">
        <f t="shared" si="10"/>
        <v>810.38599999999997</v>
      </c>
      <c r="B26">
        <v>24.8</v>
      </c>
      <c r="I26">
        <v>47.22</v>
      </c>
      <c r="J26">
        <v>175.51</v>
      </c>
      <c r="N26" s="1"/>
      <c r="O26" s="1">
        <v>0</v>
      </c>
      <c r="P26" t="e">
        <f t="shared" si="9"/>
        <v>#NUM!</v>
      </c>
      <c r="Q26" t="e">
        <f t="shared" si="7"/>
        <v>#NUM!</v>
      </c>
      <c r="R26" t="e">
        <f t="shared" si="8"/>
        <v>#NUM!</v>
      </c>
    </row>
    <row r="27" spans="1:24">
      <c r="A27">
        <f t="shared" si="10"/>
        <v>810.88599999999997</v>
      </c>
      <c r="B27">
        <v>25.5</v>
      </c>
      <c r="I27">
        <v>47.698999999999998</v>
      </c>
      <c r="J27">
        <v>175.38</v>
      </c>
      <c r="N27" s="1"/>
      <c r="O27" s="1">
        <v>0</v>
      </c>
      <c r="P27" t="e">
        <f t="shared" si="9"/>
        <v>#NUM!</v>
      </c>
      <c r="Q27" t="e">
        <f t="shared" si="7"/>
        <v>#NUM!</v>
      </c>
      <c r="R27" t="e">
        <f t="shared" si="8"/>
        <v>#NUM!</v>
      </c>
    </row>
    <row r="28" spans="1:24">
      <c r="A28">
        <f t="shared" si="10"/>
        <v>811.38599999999997</v>
      </c>
      <c r="B28">
        <v>26.2</v>
      </c>
      <c r="I28">
        <v>48.179000000000002</v>
      </c>
      <c r="J28">
        <v>175.24</v>
      </c>
      <c r="N28" s="1"/>
      <c r="O28" s="1">
        <v>0</v>
      </c>
      <c r="P28" t="e">
        <f t="shared" si="9"/>
        <v>#NUM!</v>
      </c>
      <c r="Q28" t="e">
        <f t="shared" si="7"/>
        <v>#NUM!</v>
      </c>
      <c r="R28" t="e">
        <f t="shared" si="8"/>
        <v>#NUM!</v>
      </c>
    </row>
    <row r="29" spans="1:24">
      <c r="A29">
        <f t="shared" si="10"/>
        <v>811.88599999999997</v>
      </c>
      <c r="B29">
        <v>26.9</v>
      </c>
      <c r="I29">
        <v>48.658999999999999</v>
      </c>
      <c r="J29">
        <v>175.09</v>
      </c>
      <c r="N29" s="1"/>
      <c r="O29" s="1">
        <v>0</v>
      </c>
      <c r="P29" t="e">
        <f t="shared" si="9"/>
        <v>#NUM!</v>
      </c>
      <c r="Q29" t="e">
        <f t="shared" si="7"/>
        <v>#NUM!</v>
      </c>
      <c r="R29" t="e">
        <f t="shared" si="8"/>
        <v>#NUM!</v>
      </c>
    </row>
    <row r="30" spans="1:24">
      <c r="A30">
        <f t="shared" si="10"/>
        <v>812.38599999999997</v>
      </c>
      <c r="B30">
        <v>27.6</v>
      </c>
      <c r="I30">
        <v>49.139000000000003</v>
      </c>
      <c r="J30">
        <v>174.94</v>
      </c>
      <c r="N30" s="1"/>
      <c r="O30" s="1">
        <v>0</v>
      </c>
      <c r="P30" t="e">
        <f t="shared" si="9"/>
        <v>#NUM!</v>
      </c>
      <c r="Q30" t="e">
        <f t="shared" si="7"/>
        <v>#NUM!</v>
      </c>
      <c r="R30" t="e">
        <f t="shared" si="8"/>
        <v>#NUM!</v>
      </c>
    </row>
    <row r="31" spans="1:24">
      <c r="A31">
        <f t="shared" si="10"/>
        <v>812.88599999999997</v>
      </c>
      <c r="B31">
        <v>28.4</v>
      </c>
      <c r="I31">
        <v>49.621000000000002</v>
      </c>
      <c r="J31">
        <v>174.79</v>
      </c>
      <c r="N31" s="1"/>
      <c r="O31" s="1">
        <v>0</v>
      </c>
      <c r="P31" t="e">
        <f t="shared" si="9"/>
        <v>#NUM!</v>
      </c>
      <c r="Q31" t="e">
        <f t="shared" si="7"/>
        <v>#NUM!</v>
      </c>
      <c r="R31" t="e">
        <f t="shared" si="8"/>
        <v>#NUM!</v>
      </c>
    </row>
    <row r="32" spans="1:24">
      <c r="A32">
        <f t="shared" si="10"/>
        <v>813.38599999999997</v>
      </c>
      <c r="B32">
        <v>29.2</v>
      </c>
      <c r="I32">
        <v>50.103000000000002</v>
      </c>
      <c r="J32">
        <v>174.63</v>
      </c>
      <c r="N32" s="1"/>
      <c r="O32" s="1">
        <v>0</v>
      </c>
      <c r="P32" t="e">
        <f t="shared" si="9"/>
        <v>#NUM!</v>
      </c>
      <c r="Q32" t="e">
        <f t="shared" si="7"/>
        <v>#NUM!</v>
      </c>
      <c r="R32" t="e">
        <f t="shared" si="8"/>
        <v>#NUM!</v>
      </c>
    </row>
    <row r="33" spans="1:18">
      <c r="A33">
        <f t="shared" si="10"/>
        <v>813.88599999999997</v>
      </c>
      <c r="B33">
        <v>30</v>
      </c>
      <c r="I33">
        <v>50.585000000000001</v>
      </c>
      <c r="J33">
        <v>174.46</v>
      </c>
      <c r="N33" s="1"/>
      <c r="O33" s="1">
        <v>0</v>
      </c>
      <c r="P33" t="e">
        <f t="shared" si="9"/>
        <v>#NUM!</v>
      </c>
      <c r="Q33" t="e">
        <f t="shared" si="7"/>
        <v>#NUM!</v>
      </c>
      <c r="R33" t="e">
        <f t="shared" si="8"/>
        <v>#NUM!</v>
      </c>
    </row>
    <row r="34" spans="1:18">
      <c r="A34">
        <f t="shared" si="10"/>
        <v>814.38599999999997</v>
      </c>
      <c r="B34">
        <v>30.8</v>
      </c>
      <c r="I34">
        <v>51.069000000000003</v>
      </c>
      <c r="J34">
        <v>174.29</v>
      </c>
      <c r="N34" s="1"/>
      <c r="O34" s="1">
        <v>0</v>
      </c>
      <c r="P34" t="e">
        <f t="shared" si="9"/>
        <v>#NUM!</v>
      </c>
      <c r="Q34" t="e">
        <f t="shared" si="7"/>
        <v>#NUM!</v>
      </c>
      <c r="R34" t="e">
        <f t="shared" si="8"/>
        <v>#NUM!</v>
      </c>
    </row>
    <row r="35" spans="1:18">
      <c r="A35">
        <f t="shared" si="10"/>
        <v>814.88599999999997</v>
      </c>
      <c r="B35">
        <v>31.6</v>
      </c>
      <c r="I35">
        <v>51.552999999999997</v>
      </c>
      <c r="J35">
        <v>174.11</v>
      </c>
      <c r="N35" s="1"/>
      <c r="O35" s="1">
        <v>0</v>
      </c>
      <c r="P35" t="e">
        <f t="shared" si="9"/>
        <v>#NUM!</v>
      </c>
      <c r="Q35" t="e">
        <f t="shared" si="7"/>
        <v>#NUM!</v>
      </c>
      <c r="R35" t="e">
        <f t="shared" si="8"/>
        <v>#NUM!</v>
      </c>
    </row>
    <row r="36" spans="1:18">
      <c r="A36">
        <f t="shared" si="10"/>
        <v>815.38599999999997</v>
      </c>
      <c r="B36">
        <v>32.5</v>
      </c>
      <c r="I36">
        <v>52.037999999999997</v>
      </c>
      <c r="J36">
        <v>173.93</v>
      </c>
      <c r="N36" s="1"/>
      <c r="O36" s="1">
        <v>0</v>
      </c>
      <c r="P36" t="e">
        <f t="shared" si="9"/>
        <v>#NUM!</v>
      </c>
      <c r="Q36" t="e">
        <f t="shared" si="7"/>
        <v>#NUM!</v>
      </c>
      <c r="R36" t="e">
        <f t="shared" si="8"/>
        <v>#NUM!</v>
      </c>
    </row>
    <row r="37" spans="1:18">
      <c r="A37">
        <f t="shared" si="10"/>
        <v>815.88599999999997</v>
      </c>
      <c r="B37">
        <v>33.4</v>
      </c>
      <c r="I37">
        <v>52.524000000000001</v>
      </c>
      <c r="J37">
        <v>173.74</v>
      </c>
      <c r="N37" s="1"/>
      <c r="O37" s="1">
        <v>0</v>
      </c>
      <c r="P37" t="e">
        <f t="shared" si="9"/>
        <v>#NUM!</v>
      </c>
      <c r="Q37" t="e">
        <f t="shared" si="7"/>
        <v>#NUM!</v>
      </c>
      <c r="R37" t="e">
        <f t="shared" si="8"/>
        <v>#NUM!</v>
      </c>
    </row>
    <row r="38" spans="1:18">
      <c r="A38">
        <f t="shared" si="10"/>
        <v>816.38599999999997</v>
      </c>
      <c r="B38">
        <v>34.299999999999997</v>
      </c>
      <c r="I38">
        <v>53.01</v>
      </c>
      <c r="J38">
        <v>173.54</v>
      </c>
      <c r="N38" s="1"/>
      <c r="O38" s="1">
        <v>0</v>
      </c>
      <c r="P38" t="e">
        <f t="shared" si="9"/>
        <v>#NUM!</v>
      </c>
      <c r="Q38" t="e">
        <f t="shared" si="7"/>
        <v>#NUM!</v>
      </c>
      <c r="R38" t="e">
        <f t="shared" si="8"/>
        <v>#NUM!</v>
      </c>
    </row>
    <row r="39" spans="1:18">
      <c r="A39">
        <f t="shared" si="10"/>
        <v>816.88599999999997</v>
      </c>
      <c r="B39">
        <v>35.200000000000003</v>
      </c>
      <c r="I39">
        <v>53.497999999999998</v>
      </c>
      <c r="J39">
        <v>173.33</v>
      </c>
      <c r="N39" s="1"/>
      <c r="O39" s="1">
        <v>0</v>
      </c>
      <c r="P39" t="e">
        <f t="shared" si="9"/>
        <v>#NUM!</v>
      </c>
      <c r="Q39" t="e">
        <f t="shared" si="7"/>
        <v>#NUM!</v>
      </c>
      <c r="R39" t="e">
        <f t="shared" si="8"/>
        <v>#NUM!</v>
      </c>
    </row>
    <row r="40" spans="1:18">
      <c r="A40">
        <f t="shared" si="10"/>
        <v>817.38599999999997</v>
      </c>
      <c r="B40">
        <v>36.200000000000003</v>
      </c>
      <c r="I40">
        <v>53.987000000000002</v>
      </c>
      <c r="J40">
        <v>173.11</v>
      </c>
      <c r="N40" s="1"/>
      <c r="O40" s="1">
        <v>0</v>
      </c>
      <c r="P40" t="e">
        <f t="shared" si="9"/>
        <v>#NUM!</v>
      </c>
      <c r="Q40" t="e">
        <f t="shared" si="7"/>
        <v>#NUM!</v>
      </c>
      <c r="R40" t="e">
        <f t="shared" si="8"/>
        <v>#NUM!</v>
      </c>
    </row>
    <row r="41" spans="1:18">
      <c r="A41">
        <f t="shared" si="10"/>
        <v>817.88599999999997</v>
      </c>
      <c r="B41">
        <v>37.200000000000003</v>
      </c>
      <c r="I41">
        <v>54.475999999999999</v>
      </c>
      <c r="J41">
        <v>172.89</v>
      </c>
      <c r="N41" s="1"/>
      <c r="O41" s="1">
        <v>0</v>
      </c>
      <c r="P41" t="e">
        <f t="shared" si="9"/>
        <v>#NUM!</v>
      </c>
      <c r="Q41" t="e">
        <f t="shared" si="7"/>
        <v>#NUM!</v>
      </c>
      <c r="R41" t="e">
        <f t="shared" si="8"/>
        <v>#NUM!</v>
      </c>
    </row>
    <row r="42" spans="1:18">
      <c r="A42">
        <f t="shared" si="10"/>
        <v>818.38599999999997</v>
      </c>
      <c r="B42">
        <v>38.200000000000003</v>
      </c>
      <c r="I42">
        <v>54.966999999999999</v>
      </c>
      <c r="J42">
        <v>172.66</v>
      </c>
      <c r="N42" s="1"/>
      <c r="O42" s="1">
        <v>0</v>
      </c>
      <c r="P42" t="e">
        <f t="shared" si="9"/>
        <v>#NUM!</v>
      </c>
      <c r="Q42" t="e">
        <f t="shared" si="7"/>
        <v>#NUM!</v>
      </c>
      <c r="R42" t="e">
        <f t="shared" si="8"/>
        <v>#NUM!</v>
      </c>
    </row>
    <row r="43" spans="1:18">
      <c r="A43">
        <f t="shared" si="10"/>
        <v>818.88599999999997</v>
      </c>
      <c r="B43">
        <v>39.299999999999997</v>
      </c>
      <c r="I43">
        <v>55.459000000000003</v>
      </c>
      <c r="J43">
        <v>172.41</v>
      </c>
      <c r="N43" s="1"/>
      <c r="O43" s="1">
        <v>0</v>
      </c>
      <c r="P43" t="e">
        <f t="shared" si="9"/>
        <v>#NUM!</v>
      </c>
      <c r="Q43" t="e">
        <f t="shared" si="7"/>
        <v>#NUM!</v>
      </c>
      <c r="R43" t="e">
        <f t="shared" si="8"/>
        <v>#NUM!</v>
      </c>
    </row>
    <row r="44" spans="1:18">
      <c r="A44">
        <f t="shared" si="10"/>
        <v>819.38599999999997</v>
      </c>
      <c r="B44">
        <v>40.299999999999997</v>
      </c>
      <c r="I44">
        <v>55.951999999999998</v>
      </c>
      <c r="J44">
        <v>172.16</v>
      </c>
      <c r="N44" s="1"/>
      <c r="O44" s="1">
        <v>0</v>
      </c>
      <c r="P44" t="e">
        <f t="shared" si="9"/>
        <v>#NUM!</v>
      </c>
      <c r="Q44" t="e">
        <f t="shared" si="7"/>
        <v>#NUM!</v>
      </c>
      <c r="R44" t="e">
        <f t="shared" si="8"/>
        <v>#NUM!</v>
      </c>
    </row>
    <row r="45" spans="1:18">
      <c r="A45">
        <f t="shared" si="10"/>
        <v>819.88599999999997</v>
      </c>
      <c r="B45">
        <v>41.4</v>
      </c>
      <c r="I45">
        <v>56.445999999999998</v>
      </c>
      <c r="J45">
        <v>171.9</v>
      </c>
      <c r="N45" s="1"/>
      <c r="O45" s="1">
        <v>0</v>
      </c>
      <c r="P45" t="e">
        <f t="shared" si="9"/>
        <v>#NUM!</v>
      </c>
      <c r="Q45" t="e">
        <f t="shared" si="7"/>
        <v>#NUM!</v>
      </c>
      <c r="R45" t="e">
        <f t="shared" si="8"/>
        <v>#NUM!</v>
      </c>
    </row>
    <row r="46" spans="1:18">
      <c r="A46">
        <f t="shared" si="10"/>
        <v>820.38599999999997</v>
      </c>
      <c r="B46">
        <v>42.6</v>
      </c>
      <c r="I46">
        <v>56.942</v>
      </c>
      <c r="J46">
        <v>171.62</v>
      </c>
      <c r="N46" s="1"/>
      <c r="O46" s="1">
        <v>0</v>
      </c>
      <c r="P46" t="e">
        <f t="shared" si="9"/>
        <v>#NUM!</v>
      </c>
      <c r="Q46" t="e">
        <f t="shared" si="7"/>
        <v>#NUM!</v>
      </c>
      <c r="R46" t="e">
        <f t="shared" si="8"/>
        <v>#NUM!</v>
      </c>
    </row>
    <row r="47" spans="1:18">
      <c r="A47">
        <f t="shared" si="10"/>
        <v>820.88599999999997</v>
      </c>
      <c r="B47">
        <v>43.7</v>
      </c>
      <c r="I47">
        <v>57.439</v>
      </c>
      <c r="J47">
        <v>171.33</v>
      </c>
      <c r="N47" s="1"/>
      <c r="O47" s="1">
        <v>0</v>
      </c>
      <c r="P47" t="e">
        <f t="shared" si="9"/>
        <v>#NUM!</v>
      </c>
      <c r="Q47" t="e">
        <f t="shared" si="7"/>
        <v>#NUM!</v>
      </c>
      <c r="R47" t="e">
        <f t="shared" si="8"/>
        <v>#NUM!</v>
      </c>
    </row>
    <row r="48" spans="1:18">
      <c r="A48">
        <f t="shared" si="10"/>
        <v>821.38599999999997</v>
      </c>
      <c r="B48">
        <v>44.9</v>
      </c>
      <c r="I48">
        <v>57.938000000000002</v>
      </c>
      <c r="J48">
        <v>171.03</v>
      </c>
      <c r="N48" s="1"/>
      <c r="O48" s="1">
        <v>0</v>
      </c>
      <c r="P48" t="e">
        <f t="shared" si="9"/>
        <v>#NUM!</v>
      </c>
      <c r="Q48" t="e">
        <f t="shared" si="7"/>
        <v>#NUM!</v>
      </c>
      <c r="R48" t="e">
        <f t="shared" si="8"/>
        <v>#NUM!</v>
      </c>
    </row>
    <row r="49" spans="1:18">
      <c r="A49">
        <f t="shared" si="10"/>
        <v>821.88599999999997</v>
      </c>
      <c r="B49">
        <v>46.2</v>
      </c>
      <c r="I49">
        <v>58.436999999999998</v>
      </c>
      <c r="J49">
        <v>170.72</v>
      </c>
      <c r="N49" s="1"/>
      <c r="O49" s="1">
        <v>0</v>
      </c>
      <c r="P49" t="e">
        <f t="shared" si="9"/>
        <v>#NUM!</v>
      </c>
      <c r="Q49" t="e">
        <f t="shared" si="7"/>
        <v>#NUM!</v>
      </c>
      <c r="R49" t="e">
        <f t="shared" si="8"/>
        <v>#NUM!</v>
      </c>
    </row>
    <row r="50" spans="1:18">
      <c r="A50">
        <f t="shared" si="10"/>
        <v>822.38599999999997</v>
      </c>
      <c r="B50">
        <v>47.4</v>
      </c>
      <c r="I50">
        <v>58.939</v>
      </c>
      <c r="J50">
        <v>170.39</v>
      </c>
      <c r="N50" s="1"/>
      <c r="O50" s="1">
        <v>0</v>
      </c>
      <c r="P50" t="e">
        <f t="shared" si="9"/>
        <v>#NUM!</v>
      </c>
      <c r="Q50" t="e">
        <f t="shared" si="7"/>
        <v>#NUM!</v>
      </c>
      <c r="R50" t="e">
        <f t="shared" si="8"/>
        <v>#NUM!</v>
      </c>
    </row>
    <row r="51" spans="1:18">
      <c r="A51">
        <f t="shared" si="10"/>
        <v>822.88599999999997</v>
      </c>
      <c r="B51">
        <v>48.7</v>
      </c>
      <c r="I51">
        <v>59.442</v>
      </c>
      <c r="J51">
        <v>170.04</v>
      </c>
      <c r="N51" s="1"/>
      <c r="O51" s="1">
        <v>0</v>
      </c>
      <c r="P51" t="e">
        <f t="shared" si="9"/>
        <v>#NUM!</v>
      </c>
      <c r="Q51" t="e">
        <f t="shared" si="7"/>
        <v>#NUM!</v>
      </c>
      <c r="R51" t="e">
        <f t="shared" si="8"/>
        <v>#NUM!</v>
      </c>
    </row>
    <row r="52" spans="1:18">
      <c r="A52">
        <f t="shared" si="10"/>
        <v>823.38599999999997</v>
      </c>
      <c r="B52">
        <v>50.1</v>
      </c>
      <c r="I52">
        <v>59.947000000000003</v>
      </c>
      <c r="J52">
        <v>169.68</v>
      </c>
      <c r="N52" s="1"/>
      <c r="O52" s="1">
        <v>0</v>
      </c>
      <c r="P52" t="e">
        <f t="shared" si="9"/>
        <v>#NUM!</v>
      </c>
      <c r="Q52" t="e">
        <f t="shared" si="7"/>
        <v>#NUM!</v>
      </c>
      <c r="R52" t="e">
        <f t="shared" si="8"/>
        <v>#NUM!</v>
      </c>
    </row>
    <row r="53" spans="1:18">
      <c r="A53">
        <f t="shared" si="10"/>
        <v>823.88599999999997</v>
      </c>
      <c r="B53">
        <v>51.4</v>
      </c>
      <c r="I53">
        <v>60.453000000000003</v>
      </c>
      <c r="J53">
        <v>169.3</v>
      </c>
      <c r="N53" s="1"/>
      <c r="O53" s="1">
        <v>0</v>
      </c>
      <c r="P53" t="e">
        <f t="shared" si="9"/>
        <v>#NUM!</v>
      </c>
      <c r="Q53" t="e">
        <f t="shared" si="7"/>
        <v>#NUM!</v>
      </c>
      <c r="R53" t="e">
        <f t="shared" si="8"/>
        <v>#NUM!</v>
      </c>
    </row>
    <row r="54" spans="1:18">
      <c r="A54">
        <f t="shared" si="10"/>
        <v>824.38599999999997</v>
      </c>
      <c r="B54">
        <v>52.8</v>
      </c>
      <c r="I54">
        <v>60.960999999999999</v>
      </c>
      <c r="J54">
        <v>168.91</v>
      </c>
      <c r="N54" s="1"/>
      <c r="O54" s="1">
        <v>0</v>
      </c>
      <c r="P54" t="e">
        <f t="shared" si="9"/>
        <v>#NUM!</v>
      </c>
      <c r="Q54" t="e">
        <f t="shared" si="7"/>
        <v>#NUM!</v>
      </c>
      <c r="R54" t="e">
        <f t="shared" si="8"/>
        <v>#NUM!</v>
      </c>
    </row>
    <row r="55" spans="1:18">
      <c r="A55">
        <f t="shared" si="10"/>
        <v>824.88599999999997</v>
      </c>
      <c r="B55">
        <v>54.3</v>
      </c>
      <c r="I55">
        <v>61.472000000000001</v>
      </c>
      <c r="J55">
        <v>168.49</v>
      </c>
      <c r="N55" s="1"/>
      <c r="O55" s="1">
        <v>0</v>
      </c>
      <c r="P55" t="e">
        <f t="shared" si="9"/>
        <v>#NUM!</v>
      </c>
      <c r="Q55" t="e">
        <f t="shared" si="7"/>
        <v>#NUM!</v>
      </c>
      <c r="R55" t="e">
        <f t="shared" si="8"/>
        <v>#NUM!</v>
      </c>
    </row>
    <row r="56" spans="1:18">
      <c r="A56">
        <f t="shared" si="10"/>
        <v>825.38599999999997</v>
      </c>
      <c r="B56">
        <v>55.8</v>
      </c>
      <c r="I56">
        <v>61.984000000000002</v>
      </c>
      <c r="J56">
        <v>168.05</v>
      </c>
      <c r="N56" s="1"/>
      <c r="O56" s="1">
        <v>0</v>
      </c>
      <c r="P56" t="e">
        <f t="shared" si="9"/>
        <v>#NUM!</v>
      </c>
      <c r="Q56" t="e">
        <f t="shared" si="7"/>
        <v>#NUM!</v>
      </c>
      <c r="R56" t="e">
        <f t="shared" si="8"/>
        <v>#NUM!</v>
      </c>
    </row>
    <row r="57" spans="1:18">
      <c r="A57">
        <f t="shared" si="10"/>
        <v>825.88599999999997</v>
      </c>
      <c r="B57">
        <v>57.3</v>
      </c>
      <c r="I57">
        <v>62.497999999999998</v>
      </c>
      <c r="J57">
        <v>167.6</v>
      </c>
      <c r="N57" s="1"/>
      <c r="O57" s="1">
        <v>0</v>
      </c>
      <c r="P57" t="e">
        <f t="shared" si="9"/>
        <v>#NUM!</v>
      </c>
      <c r="Q57" t="e">
        <f t="shared" si="7"/>
        <v>#NUM!</v>
      </c>
      <c r="R57" t="e">
        <f t="shared" si="8"/>
        <v>#NUM!</v>
      </c>
    </row>
    <row r="58" spans="1:18">
      <c r="A58">
        <f t="shared" si="10"/>
        <v>826.38599999999997</v>
      </c>
      <c r="B58">
        <v>58.9</v>
      </c>
      <c r="I58">
        <v>63.014000000000003</v>
      </c>
      <c r="J58">
        <v>167.11</v>
      </c>
      <c r="N58" s="1"/>
      <c r="O58" s="1">
        <v>0</v>
      </c>
      <c r="P58" t="e">
        <f t="shared" si="9"/>
        <v>#NUM!</v>
      </c>
      <c r="Q58" t="e">
        <f t="shared" si="7"/>
        <v>#NUM!</v>
      </c>
      <c r="R58" t="e">
        <f t="shared" si="8"/>
        <v>#NUM!</v>
      </c>
    </row>
    <row r="59" spans="1:18">
      <c r="A59">
        <f t="shared" si="10"/>
        <v>826.88599999999997</v>
      </c>
      <c r="B59">
        <v>60.5</v>
      </c>
      <c r="I59">
        <v>63.531999999999996</v>
      </c>
      <c r="J59">
        <v>166.6</v>
      </c>
      <c r="N59" s="1"/>
      <c r="O59" s="1">
        <v>0</v>
      </c>
      <c r="P59" t="e">
        <f t="shared" si="9"/>
        <v>#NUM!</v>
      </c>
      <c r="Q59" t="e">
        <f t="shared" si="7"/>
        <v>#NUM!</v>
      </c>
      <c r="R59" t="e">
        <f t="shared" si="8"/>
        <v>#NUM!</v>
      </c>
    </row>
    <row r="60" spans="1:18">
      <c r="A60">
        <f t="shared" si="10"/>
        <v>827.38599999999997</v>
      </c>
      <c r="B60">
        <v>62.1</v>
      </c>
      <c r="I60">
        <v>64.052000000000007</v>
      </c>
      <c r="J60">
        <v>166.07</v>
      </c>
      <c r="N60" s="1"/>
      <c r="O60" s="1">
        <v>0</v>
      </c>
      <c r="P60" t="e">
        <f t="shared" si="9"/>
        <v>#NUM!</v>
      </c>
      <c r="Q60" t="e">
        <f t="shared" si="7"/>
        <v>#NUM!</v>
      </c>
      <c r="R60" t="e">
        <f t="shared" si="8"/>
        <v>#NUM!</v>
      </c>
    </row>
    <row r="61" spans="1:18">
      <c r="A61">
        <f t="shared" si="10"/>
        <v>827.88599999999997</v>
      </c>
      <c r="B61">
        <v>63.8</v>
      </c>
      <c r="I61">
        <v>64.573999999999998</v>
      </c>
      <c r="J61">
        <v>165.5</v>
      </c>
      <c r="N61" s="1"/>
      <c r="O61" s="1">
        <v>0</v>
      </c>
      <c r="P61" t="e">
        <f t="shared" si="9"/>
        <v>#NUM!</v>
      </c>
      <c r="Q61" t="e">
        <f t="shared" si="7"/>
        <v>#NUM!</v>
      </c>
      <c r="R61" t="e">
        <f t="shared" si="8"/>
        <v>#NUM!</v>
      </c>
    </row>
    <row r="62" spans="1:18">
      <c r="A62">
        <f t="shared" si="10"/>
        <v>828.38599999999997</v>
      </c>
      <c r="B62">
        <v>65.599999999999994</v>
      </c>
      <c r="I62">
        <v>65.099000000000004</v>
      </c>
      <c r="J62">
        <v>164.91</v>
      </c>
      <c r="N62" s="1"/>
      <c r="O62" s="1">
        <v>0</v>
      </c>
      <c r="P62" t="e">
        <f t="shared" si="9"/>
        <v>#NUM!</v>
      </c>
      <c r="Q62" t="e">
        <f t="shared" si="7"/>
        <v>#NUM!</v>
      </c>
      <c r="R62" t="e">
        <f t="shared" si="8"/>
        <v>#NUM!</v>
      </c>
    </row>
    <row r="63" spans="1:18">
      <c r="A63">
        <f t="shared" si="10"/>
        <v>828.88599999999997</v>
      </c>
      <c r="B63">
        <v>67.400000000000006</v>
      </c>
      <c r="I63">
        <v>65.626000000000005</v>
      </c>
      <c r="J63">
        <v>164.28</v>
      </c>
      <c r="N63" s="1"/>
      <c r="O63" s="1">
        <v>0</v>
      </c>
      <c r="P63" t="e">
        <f t="shared" si="9"/>
        <v>#NUM!</v>
      </c>
      <c r="Q63" t="e">
        <f t="shared" si="7"/>
        <v>#NUM!</v>
      </c>
      <c r="R63" t="e">
        <f t="shared" si="8"/>
        <v>#NUM!</v>
      </c>
    </row>
    <row r="64" spans="1:18">
      <c r="A64">
        <f t="shared" si="10"/>
        <v>829.38599999999997</v>
      </c>
      <c r="B64">
        <v>69.2</v>
      </c>
      <c r="I64">
        <v>66.155000000000001</v>
      </c>
      <c r="J64">
        <v>163.62</v>
      </c>
      <c r="N64" s="1"/>
      <c r="O64" s="1">
        <v>0</v>
      </c>
      <c r="P64" t="e">
        <f t="shared" si="9"/>
        <v>#NUM!</v>
      </c>
      <c r="Q64" t="e">
        <f t="shared" si="7"/>
        <v>#NUM!</v>
      </c>
      <c r="R64" t="e">
        <f t="shared" si="8"/>
        <v>#NUM!</v>
      </c>
    </row>
    <row r="65" spans="1:18">
      <c r="A65">
        <f t="shared" si="10"/>
        <v>829.88599999999997</v>
      </c>
      <c r="B65">
        <v>71.099999999999994</v>
      </c>
      <c r="I65">
        <v>66.686000000000007</v>
      </c>
      <c r="J65">
        <v>162.91999999999999</v>
      </c>
      <c r="N65" s="1"/>
      <c r="O65" s="1">
        <v>0</v>
      </c>
      <c r="P65" t="e">
        <f t="shared" si="9"/>
        <v>#NUM!</v>
      </c>
      <c r="Q65" t="e">
        <f t="shared" si="7"/>
        <v>#NUM!</v>
      </c>
      <c r="R65" t="e">
        <f t="shared" si="8"/>
        <v>#NUM!</v>
      </c>
    </row>
    <row r="66" spans="1:18">
      <c r="A66">
        <f t="shared" si="10"/>
        <v>830.38599999999997</v>
      </c>
      <c r="B66">
        <v>73.099999999999994</v>
      </c>
      <c r="I66">
        <v>67.22</v>
      </c>
      <c r="J66">
        <v>162.18</v>
      </c>
      <c r="N66" s="1"/>
      <c r="O66" s="1">
        <v>0</v>
      </c>
      <c r="P66" t="e">
        <f t="shared" si="9"/>
        <v>#NUM!</v>
      </c>
      <c r="Q66" t="e">
        <f t="shared" si="7"/>
        <v>#NUM!</v>
      </c>
      <c r="R66" t="e">
        <f t="shared" si="8"/>
        <v>#NUM!</v>
      </c>
    </row>
    <row r="67" spans="1:18">
      <c r="A67">
        <f t="shared" si="10"/>
        <v>830.88599999999997</v>
      </c>
      <c r="B67">
        <v>75.099999999999994</v>
      </c>
      <c r="I67">
        <v>67.756</v>
      </c>
      <c r="J67">
        <v>161.38999999999999</v>
      </c>
      <c r="N67" s="1"/>
      <c r="O67" s="1">
        <v>0</v>
      </c>
      <c r="P67" t="e">
        <f t="shared" si="9"/>
        <v>#NUM!</v>
      </c>
      <c r="Q67" t="e">
        <f t="shared" si="7"/>
        <v>#NUM!</v>
      </c>
      <c r="R67" t="e">
        <f t="shared" si="8"/>
        <v>#NUM!</v>
      </c>
    </row>
    <row r="68" spans="1:18">
      <c r="A68">
        <f t="shared" si="10"/>
        <v>831.38599999999997</v>
      </c>
      <c r="B68">
        <v>77.099999999999994</v>
      </c>
      <c r="I68">
        <v>68.293000000000006</v>
      </c>
      <c r="J68">
        <v>160.56</v>
      </c>
      <c r="N68" s="1"/>
      <c r="O68" s="1">
        <v>0</v>
      </c>
      <c r="P68" t="e">
        <f t="shared" si="9"/>
        <v>#NUM!</v>
      </c>
      <c r="Q68" t="e">
        <f t="shared" si="7"/>
        <v>#NUM!</v>
      </c>
      <c r="R68" t="e">
        <f t="shared" si="8"/>
        <v>#NUM!</v>
      </c>
    </row>
    <row r="69" spans="1:18">
      <c r="A69">
        <f t="shared" si="10"/>
        <v>831.88599999999997</v>
      </c>
      <c r="B69">
        <v>79.3</v>
      </c>
      <c r="I69">
        <v>68.832999999999998</v>
      </c>
      <c r="J69">
        <v>159.69</v>
      </c>
      <c r="N69" s="1"/>
      <c r="O69" s="1">
        <v>0</v>
      </c>
      <c r="P69" t="e">
        <f t="shared" si="9"/>
        <v>#NUM!</v>
      </c>
      <c r="Q69" t="e">
        <f t="shared" si="7"/>
        <v>#NUM!</v>
      </c>
      <c r="R69" t="e">
        <f t="shared" si="8"/>
        <v>#NUM!</v>
      </c>
    </row>
    <row r="70" spans="1:18">
      <c r="A70">
        <f t="shared" si="10"/>
        <v>832.38599999999997</v>
      </c>
      <c r="B70">
        <v>81.400000000000006</v>
      </c>
      <c r="I70">
        <v>69.375</v>
      </c>
      <c r="J70">
        <v>158.75</v>
      </c>
      <c r="N70" s="1"/>
      <c r="O70" s="1">
        <v>0</v>
      </c>
      <c r="P70" t="e">
        <f t="shared" si="9"/>
        <v>#NUM!</v>
      </c>
      <c r="Q70" t="e">
        <f t="shared" si="7"/>
        <v>#NUM!</v>
      </c>
      <c r="R70" t="e">
        <f t="shared" si="8"/>
        <v>#NUM!</v>
      </c>
    </row>
    <row r="71" spans="1:18">
      <c r="A71">
        <f t="shared" si="10"/>
        <v>832.88599999999997</v>
      </c>
      <c r="B71">
        <v>83.7</v>
      </c>
      <c r="I71">
        <v>69.918000000000006</v>
      </c>
      <c r="J71">
        <v>157.77000000000001</v>
      </c>
      <c r="N71" s="1"/>
      <c r="O71" s="1">
        <v>0</v>
      </c>
      <c r="P71" t="e">
        <f t="shared" si="9"/>
        <v>#NUM!</v>
      </c>
      <c r="Q71" t="e">
        <f t="shared" si="7"/>
        <v>#NUM!</v>
      </c>
      <c r="R71" t="e">
        <f t="shared" si="8"/>
        <v>#NUM!</v>
      </c>
    </row>
    <row r="72" spans="1:18">
      <c r="A72">
        <f t="shared" si="10"/>
        <v>833.38599999999997</v>
      </c>
      <c r="B72">
        <v>86</v>
      </c>
      <c r="I72">
        <v>70.462999999999994</v>
      </c>
      <c r="J72">
        <v>156.72</v>
      </c>
      <c r="N72" s="1"/>
      <c r="O72" s="1">
        <v>0</v>
      </c>
      <c r="P72" t="e">
        <f t="shared" si="9"/>
        <v>#NUM!</v>
      </c>
      <c r="Q72" t="e">
        <f t="shared" si="7"/>
        <v>#NUM!</v>
      </c>
      <c r="R72" t="e">
        <f t="shared" si="8"/>
        <v>#NUM!</v>
      </c>
    </row>
    <row r="73" spans="1:18">
      <c r="A73">
        <f t="shared" si="10"/>
        <v>833.88599999999997</v>
      </c>
      <c r="B73">
        <v>88.3</v>
      </c>
      <c r="I73">
        <v>71.009</v>
      </c>
      <c r="J73">
        <v>155.61000000000001</v>
      </c>
      <c r="N73" s="1"/>
      <c r="O73" s="1">
        <v>0</v>
      </c>
      <c r="P73" t="e">
        <f t="shared" si="9"/>
        <v>#NUM!</v>
      </c>
      <c r="Q73" t="e">
        <f t="shared" si="7"/>
        <v>#NUM!</v>
      </c>
      <c r="R73" t="e">
        <f t="shared" si="8"/>
        <v>#NUM!</v>
      </c>
    </row>
    <row r="74" spans="1:18">
      <c r="A74">
        <f t="shared" si="10"/>
        <v>834.38599999999997</v>
      </c>
      <c r="B74">
        <v>90.7</v>
      </c>
      <c r="I74">
        <v>71.555999999999997</v>
      </c>
      <c r="J74">
        <v>154.43</v>
      </c>
      <c r="N74" s="1"/>
      <c r="O74" s="1">
        <v>0</v>
      </c>
      <c r="P74" t="e">
        <f t="shared" si="9"/>
        <v>#NUM!</v>
      </c>
      <c r="Q74" t="e">
        <f t="shared" si="7"/>
        <v>#NUM!</v>
      </c>
      <c r="R74" t="e">
        <f t="shared" si="8"/>
        <v>#NUM!</v>
      </c>
    </row>
    <row r="75" spans="1:18">
      <c r="A75">
        <f t="shared" si="10"/>
        <v>834.88599999999997</v>
      </c>
      <c r="B75">
        <v>93.2</v>
      </c>
      <c r="I75">
        <v>72.103999999999999</v>
      </c>
      <c r="J75">
        <v>153.19</v>
      </c>
      <c r="N75" s="1"/>
      <c r="O75" s="1">
        <v>0</v>
      </c>
      <c r="P75" t="e">
        <f t="shared" si="9"/>
        <v>#NUM!</v>
      </c>
      <c r="Q75" t="e">
        <f t="shared" si="7"/>
        <v>#NUM!</v>
      </c>
      <c r="R75" t="e">
        <f t="shared" si="8"/>
        <v>#NUM!</v>
      </c>
    </row>
    <row r="76" spans="1:18">
      <c r="A76">
        <f t="shared" si="10"/>
        <v>835.38599999999997</v>
      </c>
      <c r="B76">
        <v>95.8</v>
      </c>
      <c r="I76">
        <v>72.650999999999996</v>
      </c>
      <c r="J76">
        <v>151.86000000000001</v>
      </c>
      <c r="N76" s="1"/>
      <c r="O76" s="1">
        <v>0</v>
      </c>
      <c r="P76" t="e">
        <f t="shared" si="9"/>
        <v>#NUM!</v>
      </c>
      <c r="Q76" t="e">
        <f t="shared" si="7"/>
        <v>#NUM!</v>
      </c>
      <c r="R76" t="e">
        <f t="shared" si="8"/>
        <v>#NUM!</v>
      </c>
    </row>
    <row r="77" spans="1:18">
      <c r="A77">
        <f t="shared" si="10"/>
        <v>835.88599999999997</v>
      </c>
      <c r="B77">
        <v>98.4</v>
      </c>
      <c r="I77">
        <v>73.197999999999993</v>
      </c>
      <c r="J77">
        <v>150.46</v>
      </c>
      <c r="N77" s="1"/>
      <c r="O77" s="1">
        <v>0</v>
      </c>
      <c r="P77" t="e">
        <f t="shared" si="9"/>
        <v>#NUM!</v>
      </c>
      <c r="Q77" t="e">
        <f t="shared" si="7"/>
        <v>#NUM!</v>
      </c>
      <c r="R77" t="e">
        <f t="shared" si="8"/>
        <v>#NUM!</v>
      </c>
    </row>
    <row r="78" spans="1:18">
      <c r="A78">
        <f t="shared" si="10"/>
        <v>836.38599999999997</v>
      </c>
      <c r="B78">
        <v>101.1</v>
      </c>
      <c r="I78">
        <v>73.744</v>
      </c>
      <c r="J78">
        <v>148.97</v>
      </c>
      <c r="N78" s="1"/>
      <c r="O78" s="1">
        <v>0</v>
      </c>
      <c r="P78" t="e">
        <f t="shared" si="9"/>
        <v>#NUM!</v>
      </c>
      <c r="Q78" t="e">
        <f t="shared" si="7"/>
        <v>#NUM!</v>
      </c>
      <c r="R78" t="e">
        <f t="shared" si="8"/>
        <v>#NUM!</v>
      </c>
    </row>
    <row r="79" spans="1:18">
      <c r="A79">
        <f t="shared" si="10"/>
        <v>836.88599999999997</v>
      </c>
      <c r="B79">
        <v>103.8</v>
      </c>
      <c r="I79">
        <v>74.287000000000006</v>
      </c>
      <c r="J79">
        <v>147.38999999999999</v>
      </c>
      <c r="N79" s="1"/>
      <c r="O79" s="1">
        <v>0</v>
      </c>
      <c r="P79" t="e">
        <f t="shared" si="9"/>
        <v>#NUM!</v>
      </c>
      <c r="Q79" t="e">
        <f t="shared" si="7"/>
        <v>#NUM!</v>
      </c>
      <c r="R79" t="e">
        <f t="shared" si="8"/>
        <v>#NUM!</v>
      </c>
    </row>
    <row r="80" spans="1:18">
      <c r="A80">
        <f t="shared" si="10"/>
        <v>837.38599999999997</v>
      </c>
      <c r="B80">
        <v>106.7</v>
      </c>
      <c r="I80">
        <v>74.828000000000003</v>
      </c>
      <c r="J80">
        <v>145.72</v>
      </c>
      <c r="N80" s="1"/>
      <c r="O80" s="1">
        <v>0</v>
      </c>
      <c r="P80" t="e">
        <f t="shared" si="9"/>
        <v>#NUM!</v>
      </c>
      <c r="Q80" t="e">
        <f t="shared" si="7"/>
        <v>#NUM!</v>
      </c>
      <c r="R80" t="e">
        <f t="shared" si="8"/>
        <v>#NUM!</v>
      </c>
    </row>
    <row r="81" spans="1:18">
      <c r="A81">
        <f t="shared" si="10"/>
        <v>837.88599999999997</v>
      </c>
      <c r="B81">
        <v>109.6</v>
      </c>
      <c r="I81">
        <v>75.364000000000004</v>
      </c>
      <c r="J81">
        <v>143.94999999999999</v>
      </c>
      <c r="N81" s="1"/>
      <c r="O81" s="1">
        <v>0</v>
      </c>
      <c r="P81" t="e">
        <f t="shared" si="9"/>
        <v>#NUM!</v>
      </c>
      <c r="Q81" t="e">
        <f t="shared" si="7"/>
        <v>#NUM!</v>
      </c>
      <c r="R81" t="e">
        <f t="shared" si="8"/>
        <v>#NUM!</v>
      </c>
    </row>
    <row r="82" spans="1:18">
      <c r="A82">
        <f t="shared" si="10"/>
        <v>838.38599999999997</v>
      </c>
      <c r="B82">
        <v>112.6</v>
      </c>
      <c r="I82">
        <v>75.896000000000001</v>
      </c>
      <c r="J82">
        <v>142.09</v>
      </c>
      <c r="N82" s="1"/>
      <c r="O82" s="1">
        <v>0</v>
      </c>
      <c r="P82" t="e">
        <f t="shared" ref="P82:P103" si="11">20*LOG(P$12*$C82/0.00002)-$N82-$O82</f>
        <v>#NUM!</v>
      </c>
      <c r="Q82" t="e">
        <f t="shared" ref="Q82:Q103" si="12">20*LOG(Q$12*$E82/0.00002)-$N82-$O82</f>
        <v>#NUM!</v>
      </c>
      <c r="R82" t="e">
        <f t="shared" ref="R82:R103" si="13">20*LOG(R$12*$G82/0.00002)-$N82-$O82</f>
        <v>#NUM!</v>
      </c>
    </row>
    <row r="83" spans="1:18">
      <c r="A83">
        <f t="shared" si="10"/>
        <v>838.88599999999997</v>
      </c>
      <c r="B83">
        <v>115.7</v>
      </c>
      <c r="I83">
        <v>76.421000000000006</v>
      </c>
      <c r="J83">
        <v>140.12</v>
      </c>
      <c r="N83" s="1"/>
      <c r="O83" s="1">
        <v>0</v>
      </c>
      <c r="P83" t="e">
        <f t="shared" si="11"/>
        <v>#NUM!</v>
      </c>
      <c r="Q83" t="e">
        <f t="shared" si="12"/>
        <v>#NUM!</v>
      </c>
      <c r="R83" t="e">
        <f t="shared" si="13"/>
        <v>#NUM!</v>
      </c>
    </row>
    <row r="84" spans="1:18">
      <c r="A84">
        <f t="shared" ref="A84:A147" si="14">+A83+0.5</f>
        <v>839.38599999999997</v>
      </c>
      <c r="B84">
        <v>118.9</v>
      </c>
      <c r="I84">
        <v>76.938999999999993</v>
      </c>
      <c r="J84">
        <v>138.05000000000001</v>
      </c>
      <c r="N84" s="1"/>
      <c r="O84" s="1">
        <v>0</v>
      </c>
      <c r="P84" t="e">
        <f t="shared" si="11"/>
        <v>#NUM!</v>
      </c>
      <c r="Q84" t="e">
        <f t="shared" si="12"/>
        <v>#NUM!</v>
      </c>
      <c r="R84" t="e">
        <f t="shared" si="13"/>
        <v>#NUM!</v>
      </c>
    </row>
    <row r="85" spans="1:18">
      <c r="A85">
        <f t="shared" si="14"/>
        <v>839.88599999999997</v>
      </c>
      <c r="B85">
        <v>122.1</v>
      </c>
      <c r="I85">
        <v>77.447000000000003</v>
      </c>
      <c r="J85">
        <v>135.87</v>
      </c>
      <c r="N85" s="1"/>
      <c r="O85" s="1">
        <v>0</v>
      </c>
      <c r="P85" t="e">
        <f t="shared" si="11"/>
        <v>#NUM!</v>
      </c>
      <c r="Q85" t="e">
        <f t="shared" si="12"/>
        <v>#NUM!</v>
      </c>
      <c r="R85" t="e">
        <f t="shared" si="13"/>
        <v>#NUM!</v>
      </c>
    </row>
    <row r="86" spans="1:18">
      <c r="A86">
        <f t="shared" si="14"/>
        <v>840.38599999999997</v>
      </c>
      <c r="B86">
        <v>125.5</v>
      </c>
      <c r="I86">
        <v>77.944000000000003</v>
      </c>
      <c r="J86">
        <v>133.59</v>
      </c>
      <c r="N86" s="1"/>
      <c r="O86" s="1">
        <v>0</v>
      </c>
      <c r="P86" t="e">
        <f t="shared" si="11"/>
        <v>#NUM!</v>
      </c>
      <c r="Q86" t="e">
        <f t="shared" si="12"/>
        <v>#NUM!</v>
      </c>
      <c r="R86" t="e">
        <f t="shared" si="13"/>
        <v>#NUM!</v>
      </c>
    </row>
    <row r="87" spans="1:18">
      <c r="A87">
        <f t="shared" si="14"/>
        <v>840.88599999999997</v>
      </c>
      <c r="B87">
        <v>128.9</v>
      </c>
      <c r="I87">
        <v>78.429000000000002</v>
      </c>
      <c r="J87">
        <v>131.21</v>
      </c>
      <c r="N87" s="1"/>
      <c r="O87" s="1">
        <v>0</v>
      </c>
      <c r="P87" t="e">
        <f t="shared" si="11"/>
        <v>#NUM!</v>
      </c>
      <c r="Q87" t="e">
        <f t="shared" si="12"/>
        <v>#NUM!</v>
      </c>
      <c r="R87" t="e">
        <f t="shared" si="13"/>
        <v>#NUM!</v>
      </c>
    </row>
    <row r="88" spans="1:18">
      <c r="A88">
        <f t="shared" si="14"/>
        <v>841.38599999999997</v>
      </c>
      <c r="B88">
        <v>132.4</v>
      </c>
      <c r="I88">
        <v>78.899000000000001</v>
      </c>
      <c r="J88">
        <v>128.72999999999999</v>
      </c>
      <c r="N88" s="1"/>
      <c r="O88" s="1">
        <v>0</v>
      </c>
      <c r="P88" t="e">
        <f t="shared" si="11"/>
        <v>#NUM!</v>
      </c>
      <c r="Q88" t="e">
        <f t="shared" si="12"/>
        <v>#NUM!</v>
      </c>
      <c r="R88" t="e">
        <f t="shared" si="13"/>
        <v>#NUM!</v>
      </c>
    </row>
    <row r="89" spans="1:18">
      <c r="A89">
        <f t="shared" si="14"/>
        <v>841.88599999999997</v>
      </c>
      <c r="B89">
        <v>136.1</v>
      </c>
      <c r="I89">
        <v>79.353999999999999</v>
      </c>
      <c r="J89">
        <v>126.16</v>
      </c>
      <c r="N89" s="1"/>
      <c r="O89" s="1">
        <v>0</v>
      </c>
      <c r="P89" t="e">
        <f t="shared" si="11"/>
        <v>#NUM!</v>
      </c>
      <c r="Q89" t="e">
        <f t="shared" si="12"/>
        <v>#NUM!</v>
      </c>
      <c r="R89" t="e">
        <f t="shared" si="13"/>
        <v>#NUM!</v>
      </c>
    </row>
    <row r="90" spans="1:18">
      <c r="A90">
        <f t="shared" si="14"/>
        <v>842.38599999999997</v>
      </c>
      <c r="B90">
        <v>139.80000000000001</v>
      </c>
      <c r="I90">
        <v>79.790000000000006</v>
      </c>
      <c r="J90">
        <v>123.5</v>
      </c>
      <c r="N90" s="1"/>
      <c r="O90" s="1">
        <v>0</v>
      </c>
      <c r="P90" t="e">
        <f t="shared" si="11"/>
        <v>#NUM!</v>
      </c>
      <c r="Q90" t="e">
        <f t="shared" si="12"/>
        <v>#NUM!</v>
      </c>
      <c r="R90" t="e">
        <f t="shared" si="13"/>
        <v>#NUM!</v>
      </c>
    </row>
    <row r="91" spans="1:18">
      <c r="A91">
        <f t="shared" si="14"/>
        <v>842.88599999999997</v>
      </c>
      <c r="B91">
        <v>143.6</v>
      </c>
      <c r="I91">
        <v>80.207999999999998</v>
      </c>
      <c r="J91">
        <v>120.76</v>
      </c>
      <c r="N91" s="1"/>
      <c r="O91" s="1">
        <v>0</v>
      </c>
      <c r="P91" t="e">
        <f t="shared" si="11"/>
        <v>#NUM!</v>
      </c>
      <c r="Q91" t="e">
        <f t="shared" si="12"/>
        <v>#NUM!</v>
      </c>
      <c r="R91" t="e">
        <f t="shared" si="13"/>
        <v>#NUM!</v>
      </c>
    </row>
    <row r="92" spans="1:18">
      <c r="A92">
        <f t="shared" si="14"/>
        <v>843.38599999999997</v>
      </c>
      <c r="B92">
        <v>147.6</v>
      </c>
      <c r="I92">
        <v>80.603999999999999</v>
      </c>
      <c r="J92">
        <v>117.96</v>
      </c>
      <c r="N92" s="1"/>
      <c r="O92" s="1">
        <v>0</v>
      </c>
      <c r="P92" t="e">
        <f t="shared" si="11"/>
        <v>#NUM!</v>
      </c>
      <c r="Q92" t="e">
        <f t="shared" si="12"/>
        <v>#NUM!</v>
      </c>
      <c r="R92" t="e">
        <f t="shared" si="13"/>
        <v>#NUM!</v>
      </c>
    </row>
    <row r="93" spans="1:18">
      <c r="A93">
        <f t="shared" si="14"/>
        <v>843.88599999999997</v>
      </c>
      <c r="B93">
        <v>151.6</v>
      </c>
      <c r="I93">
        <v>80.98</v>
      </c>
      <c r="J93">
        <v>115.1</v>
      </c>
      <c r="N93" s="1"/>
      <c r="O93" s="1">
        <v>0</v>
      </c>
      <c r="P93" t="e">
        <f t="shared" si="11"/>
        <v>#NUM!</v>
      </c>
      <c r="Q93" t="e">
        <f t="shared" si="12"/>
        <v>#NUM!</v>
      </c>
      <c r="R93" t="e">
        <f t="shared" si="13"/>
        <v>#NUM!</v>
      </c>
    </row>
    <row r="94" spans="1:18">
      <c r="A94">
        <f t="shared" si="14"/>
        <v>844.38599999999997</v>
      </c>
      <c r="B94">
        <v>155.69999999999999</v>
      </c>
      <c r="I94">
        <v>81.331999999999994</v>
      </c>
      <c r="J94">
        <v>112.21</v>
      </c>
      <c r="N94" s="1"/>
      <c r="O94" s="1">
        <v>0</v>
      </c>
      <c r="P94" t="e">
        <f t="shared" si="11"/>
        <v>#NUM!</v>
      </c>
      <c r="Q94" t="e">
        <f t="shared" si="12"/>
        <v>#NUM!</v>
      </c>
      <c r="R94" t="e">
        <f t="shared" si="13"/>
        <v>#NUM!</v>
      </c>
    </row>
    <row r="95" spans="1:18">
      <c r="A95">
        <f t="shared" si="14"/>
        <v>844.88599999999997</v>
      </c>
      <c r="B95">
        <v>160</v>
      </c>
      <c r="I95">
        <v>81.635999999999996</v>
      </c>
      <c r="J95">
        <v>109.32</v>
      </c>
      <c r="N95" s="1"/>
      <c r="O95" s="1">
        <v>0</v>
      </c>
      <c r="P95" t="e">
        <f t="shared" si="11"/>
        <v>#NUM!</v>
      </c>
      <c r="Q95" t="e">
        <f t="shared" si="12"/>
        <v>#NUM!</v>
      </c>
      <c r="R95" t="e">
        <f t="shared" si="13"/>
        <v>#NUM!</v>
      </c>
    </row>
    <row r="96" spans="1:18">
      <c r="A96">
        <f t="shared" si="14"/>
        <v>845.38599999999997</v>
      </c>
      <c r="B96">
        <v>164.4</v>
      </c>
      <c r="I96">
        <v>81.903999999999996</v>
      </c>
      <c r="J96">
        <v>106.44</v>
      </c>
      <c r="N96" s="1"/>
      <c r="O96" s="1">
        <v>0</v>
      </c>
      <c r="P96" t="e">
        <f t="shared" si="11"/>
        <v>#NUM!</v>
      </c>
      <c r="Q96" t="e">
        <f t="shared" si="12"/>
        <v>#NUM!</v>
      </c>
      <c r="R96" t="e">
        <f t="shared" si="13"/>
        <v>#NUM!</v>
      </c>
    </row>
    <row r="97" spans="1:24">
      <c r="A97">
        <f t="shared" si="14"/>
        <v>845.88599999999997</v>
      </c>
      <c r="B97">
        <v>168.9</v>
      </c>
      <c r="I97">
        <v>82.147000000000006</v>
      </c>
      <c r="J97">
        <v>103.61</v>
      </c>
      <c r="N97" s="1"/>
      <c r="O97" s="1">
        <v>0</v>
      </c>
      <c r="P97" t="e">
        <f t="shared" si="11"/>
        <v>#NUM!</v>
      </c>
      <c r="Q97" t="e">
        <f t="shared" si="12"/>
        <v>#NUM!</v>
      </c>
      <c r="R97" t="e">
        <f t="shared" si="13"/>
        <v>#NUM!</v>
      </c>
    </row>
    <row r="98" spans="1:24">
      <c r="A98">
        <f t="shared" si="14"/>
        <v>846.38599999999997</v>
      </c>
      <c r="B98">
        <v>173.5</v>
      </c>
      <c r="I98">
        <v>82.369</v>
      </c>
      <c r="J98">
        <v>100.83</v>
      </c>
      <c r="N98" s="1"/>
      <c r="O98" s="1">
        <v>0</v>
      </c>
      <c r="P98" t="e">
        <f t="shared" si="11"/>
        <v>#NUM!</v>
      </c>
      <c r="Q98" t="e">
        <f t="shared" si="12"/>
        <v>#NUM!</v>
      </c>
      <c r="R98" t="e">
        <f t="shared" si="13"/>
        <v>#NUM!</v>
      </c>
    </row>
    <row r="99" spans="1:24">
      <c r="A99">
        <f t="shared" si="14"/>
        <v>846.88599999999997</v>
      </c>
      <c r="B99">
        <v>178.3</v>
      </c>
      <c r="I99">
        <v>82.575000000000003</v>
      </c>
      <c r="J99">
        <v>98.105999999999995</v>
      </c>
      <c r="N99" s="1"/>
      <c r="O99" s="1">
        <v>0</v>
      </c>
      <c r="P99" t="e">
        <f t="shared" si="11"/>
        <v>#NUM!</v>
      </c>
      <c r="Q99" t="e">
        <f t="shared" si="12"/>
        <v>#NUM!</v>
      </c>
      <c r="R99" t="e">
        <f t="shared" si="13"/>
        <v>#NUM!</v>
      </c>
    </row>
    <row r="100" spans="1:24">
      <c r="A100">
        <f t="shared" si="14"/>
        <v>847.38599999999997</v>
      </c>
      <c r="B100">
        <v>183.2</v>
      </c>
      <c r="I100">
        <v>82.766999999999996</v>
      </c>
      <c r="J100">
        <v>95.447999999999993</v>
      </c>
      <c r="N100" s="1"/>
      <c r="O100" s="1">
        <v>0</v>
      </c>
      <c r="P100" t="e">
        <f t="shared" si="11"/>
        <v>#NUM!</v>
      </c>
      <c r="Q100" t="e">
        <f t="shared" si="12"/>
        <v>#NUM!</v>
      </c>
      <c r="R100" t="e">
        <f t="shared" si="13"/>
        <v>#NUM!</v>
      </c>
    </row>
    <row r="101" spans="1:24">
      <c r="A101">
        <f t="shared" si="14"/>
        <v>847.88599999999997</v>
      </c>
      <c r="B101">
        <v>188.2</v>
      </c>
      <c r="I101">
        <v>82.942999999999998</v>
      </c>
      <c r="J101">
        <v>92.846000000000004</v>
      </c>
      <c r="N101" s="1"/>
      <c r="O101" s="1">
        <v>0</v>
      </c>
      <c r="P101" t="e">
        <f t="shared" si="11"/>
        <v>#NUM!</v>
      </c>
      <c r="Q101" t="e">
        <f t="shared" si="12"/>
        <v>#NUM!</v>
      </c>
      <c r="R101" t="e">
        <f t="shared" si="13"/>
        <v>#NUM!</v>
      </c>
    </row>
    <row r="102" spans="1:24">
      <c r="A102">
        <f t="shared" si="14"/>
        <v>848.38599999999997</v>
      </c>
      <c r="B102">
        <v>193.3</v>
      </c>
      <c r="I102">
        <v>83.102000000000004</v>
      </c>
      <c r="J102">
        <v>90.292000000000002</v>
      </c>
      <c r="N102" s="1"/>
      <c r="O102" s="1">
        <v>0</v>
      </c>
      <c r="P102" t="e">
        <f t="shared" si="11"/>
        <v>#NUM!</v>
      </c>
      <c r="Q102" t="e">
        <f t="shared" si="12"/>
        <v>#NUM!</v>
      </c>
      <c r="R102" t="e">
        <f t="shared" si="13"/>
        <v>#NUM!</v>
      </c>
    </row>
    <row r="103" spans="1:24">
      <c r="A103">
        <f t="shared" si="14"/>
        <v>848.88599999999997</v>
      </c>
      <c r="B103">
        <v>198.6</v>
      </c>
      <c r="I103">
        <v>83.245999999999995</v>
      </c>
      <c r="J103">
        <v>87.78</v>
      </c>
      <c r="N103" s="1"/>
      <c r="O103" s="1">
        <v>0</v>
      </c>
      <c r="P103" t="e">
        <f t="shared" si="11"/>
        <v>#NUM!</v>
      </c>
      <c r="Q103" t="e">
        <f t="shared" si="12"/>
        <v>#NUM!</v>
      </c>
      <c r="R103" t="e">
        <f t="shared" si="13"/>
        <v>#NUM!</v>
      </c>
    </row>
    <row r="104" spans="1:24">
      <c r="A104">
        <f t="shared" si="14"/>
        <v>849.38599999999997</v>
      </c>
      <c r="B104">
        <v>204</v>
      </c>
      <c r="C104" s="1">
        <v>18.5</v>
      </c>
      <c r="D104" s="1">
        <v>54</v>
      </c>
      <c r="E104" s="1">
        <v>18</v>
      </c>
      <c r="F104" s="1">
        <v>53</v>
      </c>
      <c r="G104" s="1"/>
      <c r="H104" s="1"/>
      <c r="I104">
        <v>83.373999999999995</v>
      </c>
      <c r="J104">
        <v>85.325000000000003</v>
      </c>
      <c r="L104" s="1">
        <f>17/58*180+180*0</f>
        <v>52.758620689655167</v>
      </c>
      <c r="N104" s="1"/>
      <c r="O104" s="1">
        <v>0</v>
      </c>
      <c r="P104">
        <f>20*LOG(P$12*$C104/0.00002)-$N104-$O104+P$4</f>
        <v>84.124491473945</v>
      </c>
      <c r="Q104">
        <f>20*LOG(Q$12*$E104/0.00002)-$N104-$O104+Q$4</f>
        <v>83.886507007950854</v>
      </c>
      <c r="R104" t="e">
        <f>20*LOG(R$12*$G104/0.00002)-$N104-$O104+R$4</f>
        <v>#NUM!</v>
      </c>
      <c r="V104">
        <f t="shared" ref="V104" si="15">(D104/360+V$4/V$5*$B104+0.5*V$6-INT(D104/360+V$4/V$5*$B104+0.5*V$6)+IF(D104/360+V$4/V$5*$B104+0.5*V$6-INT(D104/360+V$4/V$5*$B104+0.5*V$6)&gt;0.5,-1,0))*360</f>
        <v>88.634717570148098</v>
      </c>
      <c r="W104">
        <f>(F104/360+W$4/W$5*$B104+0.5*W$6-INT(F104/360+W$4/W$5*$B104+0.5*W$6)+IF(F104/360+W$4/W$5*$B104+0.5*W$6-INT(F104/360+W$4/W$5*$B104+0.5*W$6)&gt;0.5,-1,0))*360</f>
        <v>87.634717570148112</v>
      </c>
      <c r="X104">
        <f>(H104/360+X$4/X$5*$B104+0.5*X$6-INT(H104/360+X$4/X$5*$B104+0.5*X$6)+IF(H104/360+X$4/X$5*$B104+0.5*X$6-INT(H104/360+X$4/X$5*$B104+0.5*X$6)&gt;0.5,-1,0))*360</f>
        <v>34.634717570148055</v>
      </c>
    </row>
    <row r="105" spans="1:24">
      <c r="A105">
        <f t="shared" si="14"/>
        <v>849.88599999999997</v>
      </c>
      <c r="B105">
        <v>209.6</v>
      </c>
      <c r="C105" s="1">
        <v>18.5</v>
      </c>
      <c r="D105" s="1">
        <v>46</v>
      </c>
      <c r="E105" s="1">
        <v>18</v>
      </c>
      <c r="F105" s="1">
        <v>44</v>
      </c>
      <c r="G105" s="1"/>
      <c r="H105" s="1"/>
      <c r="I105">
        <v>83.488</v>
      </c>
      <c r="J105">
        <v>82.94</v>
      </c>
      <c r="K105" s="1">
        <f>+F105-F104+IF(F105-F104&gt;0,-360,0)</f>
        <v>-9</v>
      </c>
      <c r="L105" s="1">
        <f>14/57*180+180*0</f>
        <v>44.210526315789473</v>
      </c>
      <c r="N105" s="1"/>
      <c r="O105" s="1">
        <v>0</v>
      </c>
      <c r="P105">
        <f t="shared" ref="P105:P168" si="16">20*LOG(P$12*$C105/0.00002)-$N105-$O105+P$4</f>
        <v>84.124491473945</v>
      </c>
      <c r="Q105">
        <f t="shared" ref="Q105:Q168" si="17">20*LOG(Q$12*$E105/0.00002)-$N105-$O105+Q$4</f>
        <v>83.886507007950854</v>
      </c>
      <c r="R105" t="e">
        <f t="shared" ref="R105:R168" si="18">20*LOG(R$12*$G105/0.00002)-$N105-$O105+R$4</f>
        <v>#NUM!</v>
      </c>
      <c r="V105">
        <f t="shared" ref="V105" si="19">(D105/360+V$4/V$5*$B105+0.5*V$6-INT(D105/360+V$4/V$5*$B105+0.5*V$6)+IF(D105/360+V$4/V$5*$B105+0.5*V$6-INT(D105/360+V$4/V$5*$B105+0.5*V$6)&gt;0.5,-1,0))*360</f>
        <v>86.526650993642292</v>
      </c>
      <c r="W105">
        <f>(F105/360+W$4/W$5*$B105+0.5*W$6-INT(F105/360+W$4/W$5*$B105+0.5*W$6)+IF(F105/360+W$4/W$5*$B105+0.5*W$6-INT(F105/360+W$4/W$5*$B105+0.5*W$6)&gt;0.5,-1,0))*360</f>
        <v>84.526650993642306</v>
      </c>
      <c r="X105">
        <f>(H105/360+X$4/X$5*$B105+0.5*X$6-INT(H105/360+X$4/X$5*$B105+0.5*X$6)+IF(H105/360+X$4/X$5*$B105+0.5*X$6-INT(H105/360+X$4/X$5*$B105+0.5*X$6)&gt;0.5,-1,0))*360</f>
        <v>40.526650993642299</v>
      </c>
    </row>
    <row r="106" spans="1:24">
      <c r="A106">
        <f t="shared" si="14"/>
        <v>850.38599999999997</v>
      </c>
      <c r="B106">
        <v>215.4</v>
      </c>
      <c r="C106" s="1">
        <v>18.5</v>
      </c>
      <c r="D106" s="1">
        <v>37</v>
      </c>
      <c r="E106" s="1">
        <v>18</v>
      </c>
      <c r="F106" s="1">
        <v>35</v>
      </c>
      <c r="G106" s="1"/>
      <c r="H106" s="1"/>
      <c r="I106">
        <v>83.587999999999994</v>
      </c>
      <c r="J106">
        <v>80.644999999999996</v>
      </c>
      <c r="K106" s="1">
        <f t="shared" ref="K106:K169" si="20">+F106-F105+IF(F106-F105&gt;0,-360,0)</f>
        <v>-9</v>
      </c>
      <c r="L106" s="1">
        <f>10.2/55*180+180*0</f>
        <v>33.381818181818183</v>
      </c>
      <c r="N106" s="1"/>
      <c r="O106" s="1">
        <v>0</v>
      </c>
      <c r="P106">
        <f t="shared" si="16"/>
        <v>84.124491473945</v>
      </c>
      <c r="Q106">
        <f t="shared" si="17"/>
        <v>83.886507007950854</v>
      </c>
      <c r="R106" t="e">
        <f t="shared" si="18"/>
        <v>#NUM!</v>
      </c>
      <c r="V106">
        <f t="shared" ref="V106:V169" si="21">(D106/360+V$4/V$5*$B106+0.5*V$6-INT(D106/360+V$4/V$5*$B106+0.5*V$6)+IF(D106/360+V$4/V$5*$B106+0.5*V$6-INT(D106/360+V$4/V$5*$B106+0.5*V$6)&gt;0.5,-1,0))*360</f>
        <v>83.629010610832765</v>
      </c>
      <c r="W106">
        <f t="shared" ref="W106:W169" si="22">(F106/360+W$4/W$5*$B106+0.5*W$6-INT(F106/360+W$4/W$5*$B106+0.5*W$6)+IF(F106/360+W$4/W$5*$B106+0.5*W$6-INT(F106/360+W$4/W$5*$B106+0.5*W$6)&gt;0.5,-1,0))*360</f>
        <v>81.629010610832765</v>
      </c>
      <c r="X106">
        <f t="shared" ref="X106:X169" si="23">(H106/360+X$4/X$5*$B106+0.5*X$6-INT(H106/360+X$4/X$5*$B106+0.5*X$6)+IF(H106/360+X$4/X$5*$B106+0.5*X$6-INT(H106/360+X$4/X$5*$B106+0.5*X$6)&gt;0.5,-1,0))*360</f>
        <v>46.629010610832815</v>
      </c>
    </row>
    <row r="107" spans="1:24">
      <c r="A107">
        <f t="shared" si="14"/>
        <v>850.88599999999997</v>
      </c>
      <c r="B107">
        <v>221.2</v>
      </c>
      <c r="C107" s="1">
        <v>19</v>
      </c>
      <c r="D107" s="1">
        <v>29</v>
      </c>
      <c r="E107" s="1">
        <v>18.5</v>
      </c>
      <c r="F107" s="1">
        <v>26</v>
      </c>
      <c r="G107" s="1"/>
      <c r="H107" s="1"/>
      <c r="I107">
        <v>83.683000000000007</v>
      </c>
      <c r="J107">
        <v>78.465999999999994</v>
      </c>
      <c r="K107" s="1">
        <f t="shared" si="20"/>
        <v>-9</v>
      </c>
      <c r="L107" s="1">
        <f>15/106*180+180*0</f>
        <v>25.471698113207548</v>
      </c>
      <c r="N107" s="1"/>
      <c r="O107" s="1">
        <v>0</v>
      </c>
      <c r="P107">
        <f t="shared" si="16"/>
        <v>84.356128924941316</v>
      </c>
      <c r="Q107">
        <f t="shared" si="17"/>
        <v>84.124491473945</v>
      </c>
      <c r="R107" t="e">
        <f t="shared" si="18"/>
        <v>#NUM!</v>
      </c>
      <c r="V107">
        <f t="shared" si="21"/>
        <v>81.731370228023309</v>
      </c>
      <c r="W107">
        <f t="shared" si="22"/>
        <v>78.731370228023238</v>
      </c>
      <c r="X107">
        <f t="shared" si="23"/>
        <v>52.731370228023323</v>
      </c>
    </row>
    <row r="108" spans="1:24">
      <c r="A108">
        <f t="shared" si="14"/>
        <v>851.38599999999997</v>
      </c>
      <c r="B108">
        <v>227.2</v>
      </c>
      <c r="C108" s="1">
        <v>19</v>
      </c>
      <c r="D108" s="1">
        <v>21</v>
      </c>
      <c r="E108" s="1">
        <v>18.5</v>
      </c>
      <c r="F108" s="1">
        <v>19</v>
      </c>
      <c r="G108" s="1"/>
      <c r="H108" s="1"/>
      <c r="I108">
        <v>83.78</v>
      </c>
      <c r="J108">
        <v>76.396000000000001</v>
      </c>
      <c r="K108" s="1">
        <f t="shared" si="20"/>
        <v>-7</v>
      </c>
      <c r="L108" s="1">
        <f>12/106*180+180*0</f>
        <v>20.377358490566039</v>
      </c>
      <c r="N108" s="1"/>
      <c r="O108" s="1">
        <v>0</v>
      </c>
      <c r="P108">
        <f t="shared" si="16"/>
        <v>84.356128924941316</v>
      </c>
      <c r="Q108">
        <f t="shared" si="17"/>
        <v>84.124491473945</v>
      </c>
      <c r="R108" t="e">
        <f t="shared" si="18"/>
        <v>#NUM!</v>
      </c>
      <c r="V108">
        <f t="shared" si="21"/>
        <v>80.044156038909961</v>
      </c>
      <c r="W108">
        <f t="shared" si="22"/>
        <v>78.044156038909961</v>
      </c>
      <c r="X108">
        <f t="shared" si="23"/>
        <v>59.044156038910032</v>
      </c>
    </row>
    <row r="109" spans="1:24">
      <c r="A109">
        <f t="shared" si="14"/>
        <v>851.88599999999997</v>
      </c>
      <c r="B109">
        <v>233.4</v>
      </c>
      <c r="C109" s="1">
        <v>19.5</v>
      </c>
      <c r="D109" s="1">
        <v>13</v>
      </c>
      <c r="E109" s="1">
        <v>19</v>
      </c>
      <c r="F109" s="1">
        <v>13</v>
      </c>
      <c r="G109" s="1"/>
      <c r="H109" s="1"/>
      <c r="I109">
        <v>83.888000000000005</v>
      </c>
      <c r="J109">
        <v>74.41</v>
      </c>
      <c r="K109" s="1">
        <f t="shared" si="20"/>
        <v>-6</v>
      </c>
      <c r="L109" s="1">
        <f>8/101*180+180*0</f>
        <v>14.257425742574258</v>
      </c>
      <c r="N109" s="1"/>
      <c r="O109" s="1">
        <v>0</v>
      </c>
      <c r="P109">
        <f t="shared" si="16"/>
        <v>84.581749133135105</v>
      </c>
      <c r="Q109">
        <f t="shared" si="17"/>
        <v>84.356128924941316</v>
      </c>
      <c r="R109" t="e">
        <f t="shared" si="18"/>
        <v>#NUM!</v>
      </c>
      <c r="V109">
        <f t="shared" si="21"/>
        <v>78.567368043492962</v>
      </c>
      <c r="W109">
        <f t="shared" si="22"/>
        <v>78.567368043492962</v>
      </c>
      <c r="X109">
        <f t="shared" si="23"/>
        <v>65.567368043492934</v>
      </c>
    </row>
    <row r="110" spans="1:24">
      <c r="A110">
        <f t="shared" si="14"/>
        <v>852.38599999999997</v>
      </c>
      <c r="B110">
        <v>239.8</v>
      </c>
      <c r="C110" s="1">
        <v>20</v>
      </c>
      <c r="D110" s="1">
        <v>7</v>
      </c>
      <c r="E110" s="1">
        <v>19.5</v>
      </c>
      <c r="F110" s="1">
        <v>7</v>
      </c>
      <c r="G110" s="1"/>
      <c r="H110" s="1"/>
      <c r="I110">
        <v>84.001000000000005</v>
      </c>
      <c r="J110">
        <v>72.453999999999994</v>
      </c>
      <c r="K110" s="1">
        <f t="shared" si="20"/>
        <v>-6</v>
      </c>
      <c r="L110" s="1">
        <f>4.5/100*180+180*0</f>
        <v>8.1</v>
      </c>
      <c r="N110" s="1"/>
      <c r="O110" s="1">
        <v>0</v>
      </c>
      <c r="P110">
        <f t="shared" si="16"/>
        <v>84.80165681916435</v>
      </c>
      <c r="Q110">
        <f t="shared" si="17"/>
        <v>84.581749133135105</v>
      </c>
      <c r="R110" t="e">
        <f t="shared" si="18"/>
        <v>#NUM!</v>
      </c>
      <c r="V110">
        <f t="shared" si="21"/>
        <v>79.301006241772072</v>
      </c>
      <c r="W110">
        <f t="shared" si="22"/>
        <v>79.301006241772072</v>
      </c>
      <c r="X110">
        <f t="shared" si="23"/>
        <v>72.3010062417721</v>
      </c>
    </row>
    <row r="111" spans="1:24">
      <c r="A111">
        <f t="shared" si="14"/>
        <v>852.88599999999997</v>
      </c>
      <c r="B111">
        <v>246.4</v>
      </c>
      <c r="C111" s="1">
        <v>20.5</v>
      </c>
      <c r="D111" s="1">
        <v>0</v>
      </c>
      <c r="E111" s="1">
        <v>20</v>
      </c>
      <c r="F111" s="1">
        <f>0/100*180+180*0</f>
        <v>0</v>
      </c>
      <c r="G111" s="1"/>
      <c r="H111" s="1"/>
      <c r="I111">
        <v>84.1</v>
      </c>
      <c r="J111">
        <v>70.489000000000004</v>
      </c>
      <c r="K111" s="1">
        <f t="shared" si="20"/>
        <v>-7</v>
      </c>
      <c r="L111" s="1">
        <f>0/100*180+180*0</f>
        <v>0</v>
      </c>
      <c r="N111" s="1"/>
      <c r="O111" s="1">
        <v>0</v>
      </c>
      <c r="P111">
        <f t="shared" si="16"/>
        <v>85.016134126999816</v>
      </c>
      <c r="Q111">
        <f t="shared" si="17"/>
        <v>84.80165681916435</v>
      </c>
      <c r="R111" t="e">
        <f t="shared" si="18"/>
        <v>#NUM!</v>
      </c>
      <c r="V111">
        <f t="shared" si="21"/>
        <v>79.24507063374746</v>
      </c>
      <c r="W111">
        <f t="shared" si="22"/>
        <v>79.24507063374746</v>
      </c>
      <c r="X111">
        <f t="shared" si="23"/>
        <v>79.24507063374746</v>
      </c>
    </row>
    <row r="112" spans="1:24">
      <c r="A112">
        <f t="shared" si="14"/>
        <v>853.38599999999997</v>
      </c>
      <c r="B112">
        <v>253.2</v>
      </c>
      <c r="C112" s="1">
        <v>21</v>
      </c>
      <c r="D112" s="1">
        <v>352</v>
      </c>
      <c r="E112" s="1">
        <v>20</v>
      </c>
      <c r="F112" s="1">
        <v>350</v>
      </c>
      <c r="G112" s="1"/>
      <c r="H112" s="1"/>
      <c r="I112">
        <v>84.17</v>
      </c>
      <c r="J112">
        <v>68.504999999999995</v>
      </c>
      <c r="K112" s="1">
        <f t="shared" si="20"/>
        <v>-10</v>
      </c>
      <c r="L112" s="1">
        <f>90/96*180+180*1</f>
        <v>348.75</v>
      </c>
      <c r="N112" s="1"/>
      <c r="O112" s="1">
        <v>0</v>
      </c>
      <c r="P112">
        <f t="shared" si="16"/>
        <v>85.225442800563115</v>
      </c>
      <c r="Q112">
        <f t="shared" si="17"/>
        <v>84.80165681916435</v>
      </c>
      <c r="R112" t="e">
        <f t="shared" si="18"/>
        <v>#NUM!</v>
      </c>
      <c r="V112">
        <f t="shared" si="21"/>
        <v>78.399561219418956</v>
      </c>
      <c r="W112">
        <f t="shared" si="22"/>
        <v>76.399561219418956</v>
      </c>
      <c r="X112">
        <f t="shared" si="23"/>
        <v>86.399561219419084</v>
      </c>
    </row>
    <row r="113" spans="1:24">
      <c r="A113">
        <f t="shared" si="14"/>
        <v>853.88599999999997</v>
      </c>
      <c r="B113">
        <v>260.2</v>
      </c>
      <c r="C113" s="1">
        <v>21.5</v>
      </c>
      <c r="D113" s="1">
        <v>344</v>
      </c>
      <c r="E113" s="1">
        <v>20.5</v>
      </c>
      <c r="F113" s="1">
        <v>340</v>
      </c>
      <c r="G113" s="1"/>
      <c r="H113" s="1"/>
      <c r="I113">
        <v>84.215000000000003</v>
      </c>
      <c r="J113">
        <v>66.522000000000006</v>
      </c>
      <c r="K113" s="1">
        <f t="shared" si="20"/>
        <v>-10</v>
      </c>
      <c r="L113" s="1">
        <f>81/92*180+180*1</f>
        <v>338.47826086956525</v>
      </c>
      <c r="N113" s="1"/>
      <c r="O113" s="1">
        <v>0</v>
      </c>
      <c r="P113">
        <f t="shared" si="16"/>
        <v>85.429826104196849</v>
      </c>
      <c r="Q113">
        <f t="shared" si="17"/>
        <v>85.016134126999816</v>
      </c>
      <c r="R113" t="e">
        <f t="shared" si="18"/>
        <v>#NUM!</v>
      </c>
      <c r="V113">
        <f t="shared" si="21"/>
        <v>77.764477998786887</v>
      </c>
      <c r="W113">
        <f t="shared" si="22"/>
        <v>73.764477998786901</v>
      </c>
      <c r="X113">
        <f t="shared" si="23"/>
        <v>93.764477998786916</v>
      </c>
    </row>
    <row r="114" spans="1:24">
      <c r="A114">
        <f t="shared" si="14"/>
        <v>854.38599999999997</v>
      </c>
      <c r="B114">
        <v>267.39999999999998</v>
      </c>
      <c r="C114" s="1">
        <v>21.5</v>
      </c>
      <c r="D114" s="1">
        <v>335</v>
      </c>
      <c r="E114" s="1">
        <v>20.5</v>
      </c>
      <c r="F114" s="1">
        <v>331</v>
      </c>
      <c r="G114" s="1"/>
      <c r="H114" s="1"/>
      <c r="I114">
        <v>84.248000000000005</v>
      </c>
      <c r="J114">
        <v>64.634</v>
      </c>
      <c r="K114" s="1">
        <f t="shared" si="20"/>
        <v>-9</v>
      </c>
      <c r="L114" s="1">
        <f>75.5/89.5*180+180*1</f>
        <v>331.84357541899442</v>
      </c>
      <c r="N114" s="1"/>
      <c r="O114" s="1">
        <v>0</v>
      </c>
      <c r="P114">
        <f t="shared" si="16"/>
        <v>85.429826104196849</v>
      </c>
      <c r="Q114">
        <f t="shared" si="17"/>
        <v>85.016134126999816</v>
      </c>
      <c r="R114" t="e">
        <f t="shared" si="18"/>
        <v>#NUM!</v>
      </c>
      <c r="V114">
        <f t="shared" si="21"/>
        <v>76.339820971850941</v>
      </c>
      <c r="W114">
        <f t="shared" si="22"/>
        <v>72.339820971850941</v>
      </c>
      <c r="X114">
        <f t="shared" si="23"/>
        <v>101.33982097185093</v>
      </c>
    </row>
    <row r="115" spans="1:24">
      <c r="A115">
        <f t="shared" si="14"/>
        <v>854.88599999999997</v>
      </c>
      <c r="B115">
        <v>274.60000000000002</v>
      </c>
      <c r="C115" s="1">
        <v>21.5</v>
      </c>
      <c r="D115" s="1">
        <v>326</v>
      </c>
      <c r="E115" s="1">
        <v>21</v>
      </c>
      <c r="F115" s="1">
        <v>322</v>
      </c>
      <c r="G115" s="1"/>
      <c r="H115" s="1"/>
      <c r="I115">
        <v>84.272999999999996</v>
      </c>
      <c r="J115">
        <v>62.862000000000002</v>
      </c>
      <c r="K115" s="1">
        <f t="shared" si="20"/>
        <v>-9</v>
      </c>
      <c r="L115" s="1">
        <f>70/87*180+180*1</f>
        <v>324.82758620689651</v>
      </c>
      <c r="N115" s="1"/>
      <c r="O115" s="1">
        <v>0</v>
      </c>
      <c r="P115">
        <f t="shared" si="16"/>
        <v>85.429826104196849</v>
      </c>
      <c r="Q115">
        <f t="shared" si="17"/>
        <v>85.225442800563115</v>
      </c>
      <c r="R115" t="e">
        <f t="shared" si="18"/>
        <v>#NUM!</v>
      </c>
      <c r="V115">
        <f t="shared" si="21"/>
        <v>74.91516394491498</v>
      </c>
      <c r="W115">
        <f t="shared" si="22"/>
        <v>70.915163944914994</v>
      </c>
      <c r="X115">
        <f t="shared" si="23"/>
        <v>108.91516394491502</v>
      </c>
    </row>
    <row r="116" spans="1:24">
      <c r="A116">
        <f t="shared" si="14"/>
        <v>855.38599999999997</v>
      </c>
      <c r="B116">
        <v>282.2</v>
      </c>
      <c r="C116" s="1">
        <v>21.5</v>
      </c>
      <c r="D116" s="1">
        <v>316</v>
      </c>
      <c r="E116" s="1">
        <v>21</v>
      </c>
      <c r="F116" s="1">
        <v>313</v>
      </c>
      <c r="G116" s="1"/>
      <c r="H116" s="1"/>
      <c r="I116">
        <v>84.28</v>
      </c>
      <c r="J116">
        <v>61.218000000000004</v>
      </c>
      <c r="K116" s="1">
        <f t="shared" si="20"/>
        <v>-9</v>
      </c>
      <c r="L116" s="1">
        <f>62.5/85*180+180*1</f>
        <v>312.35294117647061</v>
      </c>
      <c r="N116" s="1"/>
      <c r="O116" s="1">
        <v>0</v>
      </c>
      <c r="P116">
        <f t="shared" si="16"/>
        <v>85.429826104196849</v>
      </c>
      <c r="Q116">
        <f t="shared" si="17"/>
        <v>85.225442800563115</v>
      </c>
      <c r="R116" t="e">
        <f t="shared" si="18"/>
        <v>#NUM!</v>
      </c>
      <c r="V116">
        <f t="shared" si="21"/>
        <v>72.911359305371406</v>
      </c>
      <c r="W116">
        <f t="shared" si="22"/>
        <v>69.911359305371576</v>
      </c>
      <c r="X116">
        <f t="shared" si="23"/>
        <v>116.91135930537149</v>
      </c>
    </row>
    <row r="117" spans="1:24">
      <c r="A117">
        <f t="shared" si="14"/>
        <v>855.88599999999997</v>
      </c>
      <c r="B117">
        <v>289.8</v>
      </c>
      <c r="C117" s="1">
        <v>22</v>
      </c>
      <c r="D117" s="1">
        <v>306</v>
      </c>
      <c r="E117" s="1">
        <v>21.2</v>
      </c>
      <c r="F117" s="1">
        <v>304</v>
      </c>
      <c r="G117" s="1"/>
      <c r="H117" s="1"/>
      <c r="I117">
        <v>84.256</v>
      </c>
      <c r="J117">
        <v>59.823</v>
      </c>
      <c r="K117" s="1">
        <f t="shared" si="20"/>
        <v>-9</v>
      </c>
      <c r="L117" s="1">
        <f>57/82.5*180+180*1</f>
        <v>304.36363636363637</v>
      </c>
      <c r="N117" s="1"/>
      <c r="O117" s="1">
        <v>0</v>
      </c>
      <c r="P117">
        <f t="shared" si="16"/>
        <v>85.629510522328872</v>
      </c>
      <c r="Q117">
        <f t="shared" si="17"/>
        <v>85.307774124459769</v>
      </c>
      <c r="R117" t="e">
        <f t="shared" si="18"/>
        <v>#NUM!</v>
      </c>
      <c r="V117">
        <f t="shared" si="21"/>
        <v>70.907554665828002</v>
      </c>
      <c r="W117">
        <f t="shared" si="22"/>
        <v>68.907554665828016</v>
      </c>
      <c r="X117">
        <f t="shared" si="23"/>
        <v>124.90755466582797</v>
      </c>
    </row>
    <row r="118" spans="1:24">
      <c r="A118">
        <f t="shared" si="14"/>
        <v>856.38599999999997</v>
      </c>
      <c r="B118">
        <v>297.8</v>
      </c>
      <c r="C118" s="1">
        <v>22</v>
      </c>
      <c r="D118" s="1">
        <v>296</v>
      </c>
      <c r="E118" s="1">
        <v>21.5</v>
      </c>
      <c r="F118" s="1">
        <v>294</v>
      </c>
      <c r="G118" s="1"/>
      <c r="H118" s="1"/>
      <c r="I118">
        <v>84.209000000000003</v>
      </c>
      <c r="J118">
        <v>58.591000000000001</v>
      </c>
      <c r="K118" s="1">
        <f t="shared" si="20"/>
        <v>-10</v>
      </c>
      <c r="L118" s="1">
        <f>50.5/80.5*180+180*1</f>
        <v>292.91925465838506</v>
      </c>
      <c r="N118" s="1"/>
      <c r="O118" s="1">
        <v>0</v>
      </c>
      <c r="P118">
        <f t="shared" si="16"/>
        <v>85.629510522328872</v>
      </c>
      <c r="Q118">
        <f t="shared" si="17"/>
        <v>85.429826104196849</v>
      </c>
      <c r="R118" t="e">
        <f t="shared" si="18"/>
        <v>#NUM!</v>
      </c>
      <c r="V118">
        <f t="shared" si="21"/>
        <v>69.324602413676985</v>
      </c>
      <c r="W118">
        <f t="shared" si="22"/>
        <v>67.324602413676985</v>
      </c>
      <c r="X118">
        <f t="shared" si="23"/>
        <v>133.32460241367693</v>
      </c>
    </row>
    <row r="119" spans="1:24">
      <c r="A119">
        <f t="shared" si="14"/>
        <v>856.88599999999997</v>
      </c>
      <c r="B119">
        <v>306</v>
      </c>
      <c r="C119" s="1">
        <v>22.5</v>
      </c>
      <c r="D119" s="1">
        <v>286</v>
      </c>
      <c r="E119" s="1">
        <v>21.7</v>
      </c>
      <c r="F119" s="1">
        <v>284</v>
      </c>
      <c r="G119" s="1"/>
      <c r="H119" s="1"/>
      <c r="I119">
        <v>84.164000000000001</v>
      </c>
      <c r="J119">
        <v>57.472000000000001</v>
      </c>
      <c r="K119" s="1">
        <f t="shared" si="20"/>
        <v>-10</v>
      </c>
      <c r="L119" s="1">
        <f>46.5/78*180+180*1</f>
        <v>287.30769230769232</v>
      </c>
      <c r="N119" s="1"/>
      <c r="O119" s="1">
        <v>-0.06</v>
      </c>
      <c r="P119">
        <f t="shared" si="16"/>
        <v>85.884707268111981</v>
      </c>
      <c r="Q119">
        <f t="shared" si="17"/>
        <v>85.570251582855335</v>
      </c>
      <c r="R119" t="e">
        <f t="shared" si="18"/>
        <v>#NUM!</v>
      </c>
      <c r="V119">
        <f t="shared" si="21"/>
        <v>67.952076355222061</v>
      </c>
      <c r="W119">
        <f t="shared" si="22"/>
        <v>65.952076355222076</v>
      </c>
      <c r="X119">
        <f t="shared" si="23"/>
        <v>141.95207635522212</v>
      </c>
    </row>
    <row r="120" spans="1:24">
      <c r="A120">
        <f t="shared" si="14"/>
        <v>857.38599999999997</v>
      </c>
      <c r="B120">
        <v>314.39999999999998</v>
      </c>
      <c r="C120" s="1">
        <v>22.5</v>
      </c>
      <c r="D120" s="1">
        <v>276</v>
      </c>
      <c r="E120" s="1">
        <v>22</v>
      </c>
      <c r="F120" s="1">
        <v>274</v>
      </c>
      <c r="G120" s="1"/>
      <c r="H120" s="1"/>
      <c r="I120">
        <v>84.135999999999996</v>
      </c>
      <c r="J120">
        <v>56.438000000000002</v>
      </c>
      <c r="K120" s="1">
        <f t="shared" si="20"/>
        <v>-10</v>
      </c>
      <c r="L120" s="1">
        <f>39.5/76*180+180*1</f>
        <v>273.5526315789474</v>
      </c>
      <c r="N120" s="1"/>
      <c r="O120" s="1">
        <v>-0.1</v>
      </c>
      <c r="P120">
        <f t="shared" si="16"/>
        <v>85.924707268111973</v>
      </c>
      <c r="Q120">
        <f t="shared" si="17"/>
        <v>85.729510522328866</v>
      </c>
      <c r="R120" t="e">
        <f t="shared" si="18"/>
        <v>#NUM!</v>
      </c>
      <c r="V120">
        <f t="shared" si="21"/>
        <v>66.789976490463587</v>
      </c>
      <c r="W120">
        <f t="shared" si="22"/>
        <v>64.789976490463431</v>
      </c>
      <c r="X120">
        <f t="shared" si="23"/>
        <v>150.78997649046346</v>
      </c>
    </row>
    <row r="121" spans="1:24">
      <c r="A121">
        <f t="shared" si="14"/>
        <v>857.88599999999997</v>
      </c>
      <c r="B121">
        <v>323</v>
      </c>
      <c r="C121" s="1">
        <v>23</v>
      </c>
      <c r="D121" s="1">
        <v>265</v>
      </c>
      <c r="E121" s="1">
        <v>22.3</v>
      </c>
      <c r="F121" s="1">
        <v>263</v>
      </c>
      <c r="G121" s="1"/>
      <c r="H121" s="1"/>
      <c r="I121">
        <v>84.120999999999995</v>
      </c>
      <c r="J121">
        <v>55.334000000000003</v>
      </c>
      <c r="K121" s="1">
        <f t="shared" si="20"/>
        <v>-11</v>
      </c>
      <c r="L121" s="1">
        <f>34/74*180+180*1</f>
        <v>262.70270270270271</v>
      </c>
      <c r="N121" s="1"/>
      <c r="O121" s="1">
        <v>-0.1</v>
      </c>
      <c r="P121">
        <f t="shared" si="16"/>
        <v>86.115613626236581</v>
      </c>
      <c r="Q121">
        <f t="shared" si="17"/>
        <v>85.847154166847943</v>
      </c>
      <c r="R121" t="e">
        <f t="shared" si="18"/>
        <v>#NUM!</v>
      </c>
      <c r="V121">
        <f t="shared" si="21"/>
        <v>64.838302819401221</v>
      </c>
      <c r="W121">
        <f t="shared" si="22"/>
        <v>62.838302819401065</v>
      </c>
      <c r="X121">
        <f t="shared" si="23"/>
        <v>159.83830281940112</v>
      </c>
    </row>
    <row r="122" spans="1:24">
      <c r="A122">
        <f t="shared" si="14"/>
        <v>858.38599999999997</v>
      </c>
      <c r="B122">
        <v>331.8</v>
      </c>
      <c r="C122" s="1">
        <v>23</v>
      </c>
      <c r="D122" s="1">
        <v>253</v>
      </c>
      <c r="E122" s="1">
        <v>22.3</v>
      </c>
      <c r="F122" s="1">
        <v>250</v>
      </c>
      <c r="G122" s="1"/>
      <c r="H122" s="1"/>
      <c r="I122">
        <v>84.128</v>
      </c>
      <c r="J122">
        <v>54.15</v>
      </c>
      <c r="K122" s="1">
        <f t="shared" si="20"/>
        <v>-13</v>
      </c>
      <c r="L122" s="1">
        <f>28/72*180+180*1</f>
        <v>250</v>
      </c>
      <c r="N122" s="1"/>
      <c r="O122" s="1">
        <v>-0.1</v>
      </c>
      <c r="P122">
        <f t="shared" si="16"/>
        <v>86.115613626236581</v>
      </c>
      <c r="Q122">
        <f t="shared" si="17"/>
        <v>85.847154166847943</v>
      </c>
      <c r="R122" t="e">
        <f t="shared" si="18"/>
        <v>#NUM!</v>
      </c>
      <c r="V122">
        <f t="shared" si="21"/>
        <v>62.09705534203497</v>
      </c>
      <c r="W122">
        <f t="shared" si="22"/>
        <v>59.097055342034977</v>
      </c>
      <c r="X122">
        <f t="shared" si="23"/>
        <v>169.09705534203491</v>
      </c>
    </row>
    <row r="123" spans="1:24">
      <c r="A123">
        <f t="shared" si="14"/>
        <v>858.88599999999997</v>
      </c>
      <c r="B123">
        <v>340.8</v>
      </c>
      <c r="C123" s="1">
        <v>24</v>
      </c>
      <c r="D123" s="1">
        <v>241</v>
      </c>
      <c r="E123" s="1">
        <v>22.5</v>
      </c>
      <c r="F123" s="1">
        <v>237</v>
      </c>
      <c r="G123" s="1"/>
      <c r="H123" s="1"/>
      <c r="I123">
        <v>84.194000000000003</v>
      </c>
      <c r="J123">
        <v>53.023000000000003</v>
      </c>
      <c r="K123" s="1">
        <f t="shared" si="20"/>
        <v>-13</v>
      </c>
      <c r="L123" s="1">
        <f>22/70*180+180*1</f>
        <v>236.57142857142856</v>
      </c>
      <c r="N123" s="1"/>
      <c r="O123" s="1">
        <v>-0.1</v>
      </c>
      <c r="P123">
        <f t="shared" si="16"/>
        <v>86.485281740116847</v>
      </c>
      <c r="Q123">
        <f t="shared" si="17"/>
        <v>85.924707268111973</v>
      </c>
      <c r="R123" t="e">
        <f t="shared" si="18"/>
        <v>#NUM!</v>
      </c>
      <c r="V123">
        <f t="shared" si="21"/>
        <v>59.566234058364991</v>
      </c>
      <c r="W123">
        <f t="shared" si="22"/>
        <v>55.566234058365005</v>
      </c>
      <c r="X123">
        <f t="shared" si="23"/>
        <v>178.56623405836504</v>
      </c>
    </row>
    <row r="124" spans="1:24">
      <c r="A124">
        <f t="shared" si="14"/>
        <v>859.38599999999997</v>
      </c>
      <c r="B124">
        <v>350.2</v>
      </c>
      <c r="C124" s="1">
        <v>24</v>
      </c>
      <c r="D124" s="1">
        <v>229</v>
      </c>
      <c r="E124" s="1">
        <v>23</v>
      </c>
      <c r="F124" s="1">
        <v>225</v>
      </c>
      <c r="G124" s="1"/>
      <c r="H124" s="1"/>
      <c r="I124">
        <v>84.356999999999999</v>
      </c>
      <c r="J124">
        <v>52.088999999999999</v>
      </c>
      <c r="K124" s="1">
        <f t="shared" si="20"/>
        <v>-12</v>
      </c>
      <c r="L124" s="1">
        <f>17/68*180+180*1</f>
        <v>225</v>
      </c>
      <c r="N124" s="1"/>
      <c r="O124" s="1">
        <v>-0.1</v>
      </c>
      <c r="P124">
        <f t="shared" si="16"/>
        <v>86.485281740116847</v>
      </c>
      <c r="Q124">
        <f t="shared" si="17"/>
        <v>86.115613626236581</v>
      </c>
      <c r="R124" t="e">
        <f t="shared" si="18"/>
        <v>#NUM!</v>
      </c>
      <c r="V124">
        <f t="shared" si="21"/>
        <v>57.456265162087554</v>
      </c>
      <c r="W124">
        <f t="shared" si="22"/>
        <v>53.456265162087568</v>
      </c>
      <c r="X124">
        <f t="shared" si="23"/>
        <v>-171.54373483791252</v>
      </c>
    </row>
    <row r="125" spans="1:24">
      <c r="A125">
        <f t="shared" si="14"/>
        <v>859.88599999999997</v>
      </c>
      <c r="B125">
        <v>359.8</v>
      </c>
      <c r="C125" s="1">
        <v>24</v>
      </c>
      <c r="D125" s="1">
        <v>217</v>
      </c>
      <c r="E125" s="1">
        <v>23.3</v>
      </c>
      <c r="F125" s="1">
        <v>213</v>
      </c>
      <c r="G125" s="1"/>
      <c r="H125" s="1"/>
      <c r="I125">
        <v>84.584000000000003</v>
      </c>
      <c r="J125">
        <v>51.298000000000002</v>
      </c>
      <c r="K125" s="1">
        <f t="shared" si="20"/>
        <v>-12</v>
      </c>
      <c r="L125" s="1">
        <f>13/66.5*180+180*1</f>
        <v>215.18796992481202</v>
      </c>
      <c r="N125" s="1"/>
      <c r="O125" s="1">
        <v>-0.1</v>
      </c>
      <c r="P125">
        <f t="shared" si="16"/>
        <v>86.485281740116847</v>
      </c>
      <c r="Q125">
        <f t="shared" si="17"/>
        <v>86.228175326405108</v>
      </c>
      <c r="R125" t="e">
        <f t="shared" si="18"/>
        <v>#NUM!</v>
      </c>
      <c r="V125">
        <f t="shared" si="21"/>
        <v>55.556722459506233</v>
      </c>
      <c r="W125">
        <f t="shared" si="22"/>
        <v>51.556722459506247</v>
      </c>
      <c r="X125">
        <f t="shared" si="23"/>
        <v>-161.44327754049371</v>
      </c>
    </row>
    <row r="126" spans="1:24">
      <c r="A126">
        <f t="shared" si="14"/>
        <v>860.38599999999997</v>
      </c>
      <c r="B126">
        <v>369.8</v>
      </c>
      <c r="C126" s="1">
        <v>24.5</v>
      </c>
      <c r="D126" s="1">
        <v>204</v>
      </c>
      <c r="E126" s="1">
        <v>23.5</v>
      </c>
      <c r="F126" s="1">
        <v>202</v>
      </c>
      <c r="G126" s="1"/>
      <c r="H126" s="1"/>
      <c r="I126">
        <v>84.745000000000005</v>
      </c>
      <c r="J126">
        <v>50.756999999999998</v>
      </c>
      <c r="K126" s="1">
        <f t="shared" si="20"/>
        <v>-11</v>
      </c>
      <c r="L126" s="1">
        <f>8/64.5*180+180*1</f>
        <v>202.32558139534885</v>
      </c>
      <c r="N126" s="1"/>
      <c r="O126" s="1">
        <v>-0.1</v>
      </c>
      <c r="P126">
        <f t="shared" si="16"/>
        <v>86.664378593175371</v>
      </c>
      <c r="Q126">
        <f t="shared" si="17"/>
        <v>86.302414151319454</v>
      </c>
      <c r="R126" t="e">
        <f t="shared" si="18"/>
        <v>#NUM!</v>
      </c>
      <c r="V126">
        <f t="shared" si="21"/>
        <v>53.078032144317447</v>
      </c>
      <c r="W126">
        <f t="shared" si="22"/>
        <v>51.078032144317461</v>
      </c>
      <c r="X126">
        <f t="shared" si="23"/>
        <v>-150.92196785568254</v>
      </c>
    </row>
    <row r="127" spans="1:24">
      <c r="A127">
        <f t="shared" si="14"/>
        <v>860.88599999999997</v>
      </c>
      <c r="B127">
        <v>379.8</v>
      </c>
      <c r="C127" s="1">
        <v>25</v>
      </c>
      <c r="D127" s="1">
        <v>191</v>
      </c>
      <c r="E127" s="1">
        <v>23.6</v>
      </c>
      <c r="F127" s="1">
        <v>191</v>
      </c>
      <c r="G127" s="1"/>
      <c r="H127" s="1"/>
      <c r="I127">
        <v>84.700999999999993</v>
      </c>
      <c r="J127">
        <v>50.429000000000002</v>
      </c>
      <c r="K127" s="1">
        <f t="shared" si="20"/>
        <v>-11</v>
      </c>
      <c r="L127" s="1">
        <f>4/63.5*180+180*1</f>
        <v>191.33858267716536</v>
      </c>
      <c r="N127" s="1"/>
      <c r="O127" s="1">
        <v>-0.1</v>
      </c>
      <c r="P127">
        <f t="shared" si="16"/>
        <v>86.839857079325469</v>
      </c>
      <c r="Q127">
        <f t="shared" si="17"/>
        <v>86.339296965286877</v>
      </c>
      <c r="R127" t="e">
        <f t="shared" si="18"/>
        <v>#NUM!</v>
      </c>
      <c r="V127">
        <f t="shared" si="21"/>
        <v>50.599341829128676</v>
      </c>
      <c r="W127">
        <f t="shared" si="22"/>
        <v>50.599341829128676</v>
      </c>
      <c r="X127">
        <f t="shared" si="23"/>
        <v>-140.40065817087137</v>
      </c>
    </row>
    <row r="128" spans="1:24">
      <c r="A128">
        <f t="shared" si="14"/>
        <v>861.38599999999997</v>
      </c>
      <c r="B128">
        <v>390.2</v>
      </c>
      <c r="C128" s="1">
        <v>25</v>
      </c>
      <c r="D128" s="1">
        <v>179</v>
      </c>
      <c r="E128" s="1">
        <v>23.8</v>
      </c>
      <c r="F128" s="1">
        <v>180</v>
      </c>
      <c r="G128" s="1"/>
      <c r="H128" s="1"/>
      <c r="I128">
        <v>84.453000000000003</v>
      </c>
      <c r="J128">
        <v>49.991999999999997</v>
      </c>
      <c r="K128" s="1">
        <f t="shared" si="20"/>
        <v>-11</v>
      </c>
      <c r="L128" s="1">
        <f>0/63.5*180+180*1</f>
        <v>180</v>
      </c>
      <c r="N128" s="1"/>
      <c r="O128" s="1">
        <v>-0.1</v>
      </c>
      <c r="P128">
        <f t="shared" si="16"/>
        <v>86.839857079325469</v>
      </c>
      <c r="Q128">
        <f t="shared" si="17"/>
        <v>86.412596047014972</v>
      </c>
      <c r="R128" t="e">
        <f t="shared" si="18"/>
        <v>#NUM!</v>
      </c>
      <c r="V128">
        <f t="shared" si="21"/>
        <v>49.541503901332277</v>
      </c>
      <c r="W128">
        <f t="shared" si="22"/>
        <v>50.54150390133227</v>
      </c>
      <c r="X128">
        <f t="shared" si="23"/>
        <v>-129.45849609866772</v>
      </c>
    </row>
    <row r="129" spans="1:24">
      <c r="A129">
        <f t="shared" si="14"/>
        <v>861.88599999999997</v>
      </c>
      <c r="B129">
        <v>400.8</v>
      </c>
      <c r="C129" s="1">
        <v>25.5</v>
      </c>
      <c r="D129" s="1">
        <v>167</v>
      </c>
      <c r="E129" s="1">
        <v>24</v>
      </c>
      <c r="F129" s="1">
        <v>168</v>
      </c>
      <c r="G129" s="1"/>
      <c r="H129" s="1"/>
      <c r="I129">
        <v>84.159000000000006</v>
      </c>
      <c r="J129">
        <v>48.335999999999999</v>
      </c>
      <c r="K129" s="1">
        <f t="shared" si="20"/>
        <v>-12</v>
      </c>
      <c r="L129" s="1">
        <f>55.5/59.5*180+180*0</f>
        <v>167.89915966386556</v>
      </c>
      <c r="N129" s="1"/>
      <c r="O129" s="1">
        <v>-0.1</v>
      </c>
      <c r="P129">
        <f t="shared" si="16"/>
        <v>87.011860514563836</v>
      </c>
      <c r="Q129">
        <f t="shared" si="17"/>
        <v>86.485281740116847</v>
      </c>
      <c r="R129" t="e">
        <f t="shared" si="18"/>
        <v>#NUM!</v>
      </c>
      <c r="V129">
        <f t="shared" si="21"/>
        <v>48.694092167232142</v>
      </c>
      <c r="W129">
        <f t="shared" si="22"/>
        <v>49.694092167232142</v>
      </c>
      <c r="X129">
        <f t="shared" si="23"/>
        <v>-118.3059078327679</v>
      </c>
    </row>
    <row r="130" spans="1:24">
      <c r="A130">
        <f t="shared" si="14"/>
        <v>862.38599999999997</v>
      </c>
      <c r="B130">
        <v>411.8</v>
      </c>
      <c r="C130" s="1">
        <v>26</v>
      </c>
      <c r="D130" s="1">
        <v>154</v>
      </c>
      <c r="E130" s="1">
        <v>24.2</v>
      </c>
      <c r="F130" s="1">
        <v>155</v>
      </c>
      <c r="G130" s="1"/>
      <c r="H130" s="1"/>
      <c r="I130">
        <v>84.016000000000005</v>
      </c>
      <c r="J130">
        <v>45.481000000000002</v>
      </c>
      <c r="K130" s="1">
        <f t="shared" si="20"/>
        <v>-13</v>
      </c>
      <c r="L130" s="1">
        <f>49.5/58*180+180*0</f>
        <v>153.62068965517241</v>
      </c>
      <c r="N130" s="1"/>
      <c r="O130" s="1">
        <v>-0.1</v>
      </c>
      <c r="P130">
        <f t="shared" si="16"/>
        <v>87.180523865301097</v>
      </c>
      <c r="Q130">
        <f t="shared" si="17"/>
        <v>86.557364225493345</v>
      </c>
      <c r="R130" t="e">
        <f t="shared" si="18"/>
        <v>#NUM!</v>
      </c>
      <c r="V130">
        <f t="shared" si="21"/>
        <v>47.267532820524409</v>
      </c>
      <c r="W130">
        <f t="shared" si="22"/>
        <v>48.267532820524401</v>
      </c>
      <c r="X130">
        <f t="shared" si="23"/>
        <v>-106.73246717947561</v>
      </c>
    </row>
    <row r="131" spans="1:24">
      <c r="A131">
        <f t="shared" si="14"/>
        <v>862.88599999999997</v>
      </c>
      <c r="B131">
        <v>423</v>
      </c>
      <c r="C131" s="1">
        <v>26</v>
      </c>
      <c r="D131" s="1">
        <v>141</v>
      </c>
      <c r="E131" s="1">
        <v>24.5</v>
      </c>
      <c r="F131" s="1">
        <v>141</v>
      </c>
      <c r="G131" s="1"/>
      <c r="H131" s="1"/>
      <c r="I131">
        <v>84.123999999999995</v>
      </c>
      <c r="J131">
        <v>41.457999999999998</v>
      </c>
      <c r="K131" s="1">
        <f t="shared" si="20"/>
        <v>-14</v>
      </c>
      <c r="L131" s="1">
        <f>44.5/56.5*180+180*0</f>
        <v>141.76991150442478</v>
      </c>
      <c r="N131" s="1"/>
      <c r="O131" s="1">
        <v>-0.115</v>
      </c>
      <c r="P131">
        <f t="shared" si="16"/>
        <v>87.195523865301098</v>
      </c>
      <c r="Q131">
        <f t="shared" si="17"/>
        <v>86.679378593175372</v>
      </c>
      <c r="R131" t="e">
        <f t="shared" si="18"/>
        <v>#NUM!</v>
      </c>
      <c r="V131">
        <f t="shared" si="21"/>
        <v>46.051399667512776</v>
      </c>
      <c r="W131">
        <f t="shared" si="22"/>
        <v>46.051399667512776</v>
      </c>
      <c r="X131">
        <f t="shared" si="23"/>
        <v>-94.948600332487118</v>
      </c>
    </row>
    <row r="132" spans="1:24">
      <c r="A132">
        <f t="shared" si="14"/>
        <v>863.38599999999997</v>
      </c>
      <c r="B132">
        <v>434.8</v>
      </c>
      <c r="C132" s="1">
        <v>26</v>
      </c>
      <c r="D132" s="1">
        <v>127</v>
      </c>
      <c r="E132" s="1">
        <v>24.7</v>
      </c>
      <c r="F132" s="1">
        <v>127</v>
      </c>
      <c r="G132" s="1"/>
      <c r="H132" s="1"/>
      <c r="I132">
        <v>84.43</v>
      </c>
      <c r="J132">
        <v>36.652000000000001</v>
      </c>
      <c r="K132" s="1">
        <f t="shared" si="20"/>
        <v>-14</v>
      </c>
      <c r="L132" s="1">
        <f>39/55.5*180+180*0</f>
        <v>126.4864864864865</v>
      </c>
      <c r="N132" s="1"/>
      <c r="O132" s="1">
        <v>-0.17400000000000004</v>
      </c>
      <c r="P132">
        <f t="shared" si="16"/>
        <v>87.25452386530111</v>
      </c>
      <c r="Q132">
        <f t="shared" si="17"/>
        <v>86.808995971078048</v>
      </c>
      <c r="R132" t="e">
        <f t="shared" si="18"/>
        <v>#NUM!</v>
      </c>
      <c r="V132">
        <f t="shared" si="21"/>
        <v>44.466545095590121</v>
      </c>
      <c r="W132">
        <f t="shared" si="22"/>
        <v>44.466545095590121</v>
      </c>
      <c r="X132">
        <f t="shared" si="23"/>
        <v>-82.533454904409908</v>
      </c>
    </row>
    <row r="133" spans="1:24">
      <c r="A133">
        <f t="shared" si="14"/>
        <v>863.88599999999997</v>
      </c>
      <c r="B133">
        <v>446.6</v>
      </c>
      <c r="C133" s="1">
        <v>26.5</v>
      </c>
      <c r="D133" s="1">
        <v>113</v>
      </c>
      <c r="E133" s="1">
        <v>24.8</v>
      </c>
      <c r="F133" s="1">
        <v>113</v>
      </c>
      <c r="G133" s="1"/>
      <c r="H133" s="1"/>
      <c r="I133">
        <v>84.78</v>
      </c>
      <c r="J133">
        <v>33.786999999999999</v>
      </c>
      <c r="K133" s="1">
        <f t="shared" si="20"/>
        <v>-14</v>
      </c>
      <c r="L133" s="1">
        <f>33/53.5*180+180*0</f>
        <v>111.02803738317756</v>
      </c>
      <c r="N133" s="1"/>
      <c r="O133" s="1">
        <v>-0.2</v>
      </c>
      <c r="P133">
        <f t="shared" si="16"/>
        <v>87.445974384620897</v>
      </c>
      <c r="Q133">
        <f t="shared" si="17"/>
        <v>86.870090522409072</v>
      </c>
      <c r="R133" t="e">
        <f t="shared" si="18"/>
        <v>#NUM!</v>
      </c>
      <c r="V133">
        <f t="shared" si="21"/>
        <v>42.881690523667316</v>
      </c>
      <c r="W133">
        <f t="shared" si="22"/>
        <v>42.881690523667316</v>
      </c>
      <c r="X133">
        <f t="shared" si="23"/>
        <v>-70.118309476332684</v>
      </c>
    </row>
    <row r="134" spans="1:24">
      <c r="A134">
        <f t="shared" si="14"/>
        <v>864.38599999999997</v>
      </c>
      <c r="B134">
        <v>458.8</v>
      </c>
      <c r="C134" s="1">
        <v>26.5</v>
      </c>
      <c r="D134" s="1">
        <v>99</v>
      </c>
      <c r="E134" s="1">
        <v>25</v>
      </c>
      <c r="F134" s="1">
        <v>99</v>
      </c>
      <c r="G134" s="1"/>
      <c r="H134" s="1"/>
      <c r="I134">
        <v>85.022999999999996</v>
      </c>
      <c r="J134">
        <v>32.643999999999998</v>
      </c>
      <c r="K134" s="1">
        <f t="shared" si="20"/>
        <v>-14</v>
      </c>
      <c r="L134" s="1">
        <f>29/52*180+180*0</f>
        <v>100.38461538461539</v>
      </c>
      <c r="N134" s="1"/>
      <c r="O134" s="1">
        <v>-0.2</v>
      </c>
      <c r="P134">
        <f t="shared" si="16"/>
        <v>87.445974384620897</v>
      </c>
      <c r="Q134">
        <f t="shared" si="17"/>
        <v>86.939857079325478</v>
      </c>
      <c r="R134" t="e">
        <f t="shared" si="18"/>
        <v>#NUM!</v>
      </c>
      <c r="V134">
        <f t="shared" si="21"/>
        <v>41.717688339136885</v>
      </c>
      <c r="W134">
        <f t="shared" si="22"/>
        <v>41.717688339136885</v>
      </c>
      <c r="X134">
        <f t="shared" si="23"/>
        <v>-57.282311660863087</v>
      </c>
    </row>
    <row r="135" spans="1:24">
      <c r="A135">
        <f t="shared" si="14"/>
        <v>864.88599999999997</v>
      </c>
      <c r="B135">
        <v>471.4</v>
      </c>
      <c r="C135" s="1">
        <v>26.5</v>
      </c>
      <c r="D135" s="1">
        <v>85</v>
      </c>
      <c r="E135" s="1">
        <v>25</v>
      </c>
      <c r="F135" s="1">
        <v>85</v>
      </c>
      <c r="G135" s="1"/>
      <c r="H135" s="1"/>
      <c r="I135">
        <v>85.096999999999994</v>
      </c>
      <c r="J135">
        <v>32.369999999999997</v>
      </c>
      <c r="K135" s="1">
        <f t="shared" si="20"/>
        <v>-14</v>
      </c>
      <c r="L135" s="1">
        <f>24.5/51*180+180*0</f>
        <v>86.470588235294116</v>
      </c>
      <c r="N135" s="1"/>
      <c r="O135" s="1">
        <v>-0.2</v>
      </c>
      <c r="P135">
        <f t="shared" si="16"/>
        <v>87.445974384620897</v>
      </c>
      <c r="Q135">
        <f t="shared" si="17"/>
        <v>86.939857079325478</v>
      </c>
      <c r="R135" t="e">
        <f t="shared" si="18"/>
        <v>#NUM!</v>
      </c>
      <c r="V135">
        <f t="shared" si="21"/>
        <v>40.974538541998996</v>
      </c>
      <c r="W135">
        <f t="shared" si="22"/>
        <v>40.974538541998996</v>
      </c>
      <c r="X135">
        <f t="shared" si="23"/>
        <v>-44.025461458001018</v>
      </c>
    </row>
    <row r="136" spans="1:24">
      <c r="A136">
        <f t="shared" si="14"/>
        <v>865.38599999999997</v>
      </c>
      <c r="B136">
        <v>484.2</v>
      </c>
      <c r="C136" s="1">
        <v>27</v>
      </c>
      <c r="D136" s="1">
        <v>71</v>
      </c>
      <c r="E136" s="1">
        <v>25.3</v>
      </c>
      <c r="F136" s="1">
        <v>70</v>
      </c>
      <c r="G136" s="1"/>
      <c r="H136" s="1"/>
      <c r="I136">
        <v>85.09</v>
      </c>
      <c r="J136">
        <v>32.159999999999997</v>
      </c>
      <c r="K136" s="1">
        <f t="shared" si="20"/>
        <v>-15</v>
      </c>
      <c r="L136" s="1">
        <f>19/49.5*180+180*0</f>
        <v>69.090909090909079</v>
      </c>
      <c r="N136" s="1"/>
      <c r="O136" s="1">
        <v>-0.2</v>
      </c>
      <c r="P136">
        <f t="shared" si="16"/>
        <v>87.608332189064484</v>
      </c>
      <c r="Q136">
        <f t="shared" si="17"/>
        <v>87.043467329401111</v>
      </c>
      <c r="R136" t="e">
        <f t="shared" si="18"/>
        <v>#NUM!</v>
      </c>
      <c r="V136">
        <f t="shared" si="21"/>
        <v>40.441814938557386</v>
      </c>
      <c r="W136">
        <f t="shared" si="22"/>
        <v>39.441814938557229</v>
      </c>
      <c r="X136">
        <f t="shared" si="23"/>
        <v>-30.558185061442682</v>
      </c>
    </row>
    <row r="137" spans="1:24">
      <c r="A137">
        <f t="shared" si="14"/>
        <v>865.88599999999997</v>
      </c>
      <c r="B137">
        <v>497.6</v>
      </c>
      <c r="C137" s="1">
        <v>27</v>
      </c>
      <c r="D137" s="1">
        <v>56</v>
      </c>
      <c r="E137" s="1">
        <v>25.6</v>
      </c>
      <c r="F137" s="1">
        <v>54</v>
      </c>
      <c r="G137" s="1"/>
      <c r="H137" s="1"/>
      <c r="I137">
        <v>85.049000000000007</v>
      </c>
      <c r="J137">
        <v>30.794</v>
      </c>
      <c r="K137" s="1">
        <f t="shared" si="20"/>
        <v>-16</v>
      </c>
      <c r="L137" s="1">
        <f>14/48*180+180*0</f>
        <v>52.5</v>
      </c>
      <c r="N137" s="1"/>
      <c r="O137" s="1">
        <v>-0.2</v>
      </c>
      <c r="P137">
        <f t="shared" si="16"/>
        <v>87.608332189064484</v>
      </c>
      <c r="Q137">
        <f t="shared" si="17"/>
        <v>87.145856212121728</v>
      </c>
      <c r="R137" t="e">
        <f t="shared" si="18"/>
        <v>#NUM!</v>
      </c>
      <c r="V137">
        <f t="shared" si="21"/>
        <v>39.54036991620427</v>
      </c>
      <c r="W137">
        <f t="shared" si="22"/>
        <v>37.540369916204277</v>
      </c>
      <c r="X137">
        <f t="shared" si="23"/>
        <v>-16.459630083795691</v>
      </c>
    </row>
    <row r="138" spans="1:24">
      <c r="A138">
        <f t="shared" si="14"/>
        <v>866.38599999999997</v>
      </c>
      <c r="B138">
        <v>511.2</v>
      </c>
      <c r="C138" s="1">
        <v>27.5</v>
      </c>
      <c r="D138" s="1">
        <v>40</v>
      </c>
      <c r="E138" s="1">
        <v>25.8</v>
      </c>
      <c r="F138" s="1">
        <v>38</v>
      </c>
      <c r="G138" s="1"/>
      <c r="H138" s="1"/>
      <c r="I138">
        <v>84.983000000000004</v>
      </c>
      <c r="J138">
        <v>28.7</v>
      </c>
      <c r="K138" s="1">
        <f t="shared" si="20"/>
        <v>-16</v>
      </c>
      <c r="L138" s="1">
        <f>10/47*180+180*0</f>
        <v>38.297872340425535</v>
      </c>
      <c r="N138" s="1"/>
      <c r="O138" s="1">
        <v>-0.2</v>
      </c>
      <c r="P138">
        <f t="shared" si="16"/>
        <v>87.767710782489999</v>
      </c>
      <c r="Q138">
        <f t="shared" si="17"/>
        <v>87.21345102514934</v>
      </c>
      <c r="R138" t="e">
        <f t="shared" si="18"/>
        <v>#NUM!</v>
      </c>
      <c r="V138">
        <f t="shared" si="21"/>
        <v>37.849351087547589</v>
      </c>
      <c r="W138">
        <f t="shared" si="22"/>
        <v>35.849351087547596</v>
      </c>
      <c r="X138">
        <f t="shared" si="23"/>
        <v>-2.1506489124525086</v>
      </c>
    </row>
    <row r="139" spans="1:24">
      <c r="A139">
        <f t="shared" si="14"/>
        <v>866.88599999999997</v>
      </c>
      <c r="B139">
        <v>525.20000000000005</v>
      </c>
      <c r="C139" s="1">
        <v>27.5</v>
      </c>
      <c r="D139" s="1">
        <v>24</v>
      </c>
      <c r="E139" s="1">
        <v>25.8</v>
      </c>
      <c r="F139" s="1">
        <v>22</v>
      </c>
      <c r="G139" s="1"/>
      <c r="H139" s="1"/>
      <c r="I139">
        <v>84.856999999999999</v>
      </c>
      <c r="J139">
        <v>26.635000000000002</v>
      </c>
      <c r="K139" s="1">
        <f t="shared" si="20"/>
        <v>-16</v>
      </c>
      <c r="L139" s="1">
        <f>6/46*180+180*0</f>
        <v>23.478260869565215</v>
      </c>
      <c r="N139" s="1"/>
      <c r="O139" s="1">
        <v>-0.2</v>
      </c>
      <c r="P139">
        <f t="shared" si="16"/>
        <v>87.767710782489999</v>
      </c>
      <c r="Q139">
        <f t="shared" si="17"/>
        <v>87.21345102514934</v>
      </c>
      <c r="R139" t="e">
        <f t="shared" si="18"/>
        <v>#NUM!</v>
      </c>
      <c r="V139">
        <f t="shared" si="21"/>
        <v>36.579184646283132</v>
      </c>
      <c r="W139">
        <f t="shared" si="22"/>
        <v>34.579184646283139</v>
      </c>
      <c r="X139">
        <f t="shared" si="23"/>
        <v>12.579184646283217</v>
      </c>
    </row>
    <row r="140" spans="1:24">
      <c r="A140">
        <f t="shared" si="14"/>
        <v>867.38599999999997</v>
      </c>
      <c r="B140">
        <v>539.6</v>
      </c>
      <c r="C140" s="1">
        <v>27.5</v>
      </c>
      <c r="D140" s="1">
        <v>7</v>
      </c>
      <c r="E140" s="1">
        <v>26</v>
      </c>
      <c r="F140" s="1">
        <v>6</v>
      </c>
      <c r="G140" s="1"/>
      <c r="H140" s="1"/>
      <c r="I140">
        <v>84.635999999999996</v>
      </c>
      <c r="J140">
        <v>24.997</v>
      </c>
      <c r="K140" s="1">
        <f t="shared" si="20"/>
        <v>-16</v>
      </c>
      <c r="L140" s="1">
        <f>1.5/44.5*180+180*0</f>
        <v>6.0674157303370784</v>
      </c>
      <c r="N140" s="1"/>
      <c r="O140" s="1">
        <v>-0.2</v>
      </c>
      <c r="P140">
        <f t="shared" si="16"/>
        <v>87.767710782489999</v>
      </c>
      <c r="Q140">
        <f t="shared" si="17"/>
        <v>87.280523865301106</v>
      </c>
      <c r="R140" t="e">
        <f t="shared" si="18"/>
        <v>#NUM!</v>
      </c>
      <c r="V140">
        <f t="shared" si="21"/>
        <v>34.72987059241138</v>
      </c>
      <c r="W140">
        <f t="shared" si="22"/>
        <v>33.729870592411224</v>
      </c>
      <c r="X140">
        <f t="shared" si="23"/>
        <v>27.729870592411245</v>
      </c>
    </row>
    <row r="141" spans="1:24">
      <c r="A141">
        <f t="shared" si="14"/>
        <v>867.88599999999997</v>
      </c>
      <c r="B141">
        <v>554.4</v>
      </c>
      <c r="C141" s="1">
        <v>28</v>
      </c>
      <c r="D141" s="1">
        <v>349</v>
      </c>
      <c r="E141" s="1">
        <v>26.2</v>
      </c>
      <c r="F141" s="1">
        <v>349</v>
      </c>
      <c r="G141" s="1"/>
      <c r="H141" s="1"/>
      <c r="I141">
        <v>84.352999999999994</v>
      </c>
      <c r="J141">
        <v>23.667000000000002</v>
      </c>
      <c r="K141" s="1">
        <f t="shared" si="20"/>
        <v>-17</v>
      </c>
      <c r="L141" s="1">
        <f>40.5/43*180+180*1</f>
        <v>349.53488372093022</v>
      </c>
      <c r="N141" s="1"/>
      <c r="O141" s="1">
        <v>-0.2</v>
      </c>
      <c r="P141">
        <f t="shared" si="16"/>
        <v>87.924217532729116</v>
      </c>
      <c r="Q141">
        <f t="shared" si="17"/>
        <v>87.347082732279645</v>
      </c>
      <c r="R141" t="e">
        <f t="shared" si="18"/>
        <v>#NUM!</v>
      </c>
      <c r="V141">
        <f t="shared" si="21"/>
        <v>32.301408925931852</v>
      </c>
      <c r="W141">
        <f t="shared" si="22"/>
        <v>32.301408925931852</v>
      </c>
      <c r="X141">
        <f t="shared" si="23"/>
        <v>43.301408925931817</v>
      </c>
    </row>
    <row r="142" spans="1:24">
      <c r="A142">
        <f t="shared" si="14"/>
        <v>868.38599999999997</v>
      </c>
      <c r="B142">
        <v>569.6</v>
      </c>
      <c r="C142" s="1">
        <v>28</v>
      </c>
      <c r="D142" s="1">
        <v>331</v>
      </c>
      <c r="E142" s="1">
        <v>26.4</v>
      </c>
      <c r="F142" s="1">
        <v>331</v>
      </c>
      <c r="G142" s="1"/>
      <c r="H142" s="1"/>
      <c r="I142">
        <v>84.149000000000001</v>
      </c>
      <c r="J142">
        <v>22.355</v>
      </c>
      <c r="K142" s="1">
        <f t="shared" si="20"/>
        <v>-18</v>
      </c>
      <c r="L142" s="1">
        <f>35/42*180+180*1</f>
        <v>330</v>
      </c>
      <c r="N142" s="1"/>
      <c r="O142" s="1">
        <v>-0.2</v>
      </c>
      <c r="P142">
        <f t="shared" si="16"/>
        <v>87.924217532729116</v>
      </c>
      <c r="Q142">
        <f t="shared" si="17"/>
        <v>87.413135443281348</v>
      </c>
      <c r="R142" t="e">
        <f t="shared" si="18"/>
        <v>#NUM!</v>
      </c>
      <c r="V142">
        <f t="shared" si="21"/>
        <v>30.293799646844874</v>
      </c>
      <c r="W142">
        <f t="shared" si="22"/>
        <v>30.293799646844874</v>
      </c>
      <c r="X142">
        <f t="shared" si="23"/>
        <v>59.293799646844931</v>
      </c>
    </row>
    <row r="143" spans="1:24">
      <c r="A143">
        <f t="shared" si="14"/>
        <v>868.88599999999997</v>
      </c>
      <c r="B143">
        <v>585</v>
      </c>
      <c r="C143" s="1">
        <v>28.5</v>
      </c>
      <c r="D143" s="1">
        <v>313</v>
      </c>
      <c r="E143" s="1">
        <v>26.6</v>
      </c>
      <c r="F143" s="1">
        <v>313</v>
      </c>
      <c r="G143" s="1"/>
      <c r="H143" s="1"/>
      <c r="I143">
        <v>84.144999999999996</v>
      </c>
      <c r="J143">
        <v>21.041</v>
      </c>
      <c r="K143" s="1">
        <f t="shared" si="20"/>
        <v>-18</v>
      </c>
      <c r="L143" s="1">
        <f>30.5/41*180+180*1</f>
        <v>313.90243902439022</v>
      </c>
      <c r="N143" s="1"/>
      <c r="O143" s="1">
        <v>-0.2</v>
      </c>
      <c r="P143">
        <f t="shared" si="16"/>
        <v>88.077954106054946</v>
      </c>
      <c r="Q143">
        <f t="shared" si="17"/>
        <v>87.478689638506083</v>
      </c>
      <c r="R143" t="e">
        <f t="shared" si="18"/>
        <v>#NUM!</v>
      </c>
      <c r="V143">
        <f t="shared" si="21"/>
        <v>28.496616561454005</v>
      </c>
      <c r="W143">
        <f t="shared" si="22"/>
        <v>28.496616561454005</v>
      </c>
      <c r="X143">
        <f t="shared" si="23"/>
        <v>75.496616561454005</v>
      </c>
    </row>
    <row r="144" spans="1:24">
      <c r="A144">
        <f t="shared" si="14"/>
        <v>869.38599999999997</v>
      </c>
      <c r="B144">
        <v>601</v>
      </c>
      <c r="C144" s="1">
        <v>28.5</v>
      </c>
      <c r="D144" s="1">
        <v>296</v>
      </c>
      <c r="E144" s="1">
        <v>26.8</v>
      </c>
      <c r="F144" s="1">
        <v>295</v>
      </c>
      <c r="G144" s="1"/>
      <c r="H144" s="1"/>
      <c r="I144">
        <v>84.319000000000003</v>
      </c>
      <c r="J144">
        <v>19.754999999999999</v>
      </c>
      <c r="K144" s="1">
        <f t="shared" si="20"/>
        <v>-18</v>
      </c>
      <c r="L144" s="1">
        <f>26/40*180+180*1</f>
        <v>297</v>
      </c>
      <c r="N144" s="1"/>
      <c r="O144" s="1">
        <v>-0.19750000000000001</v>
      </c>
      <c r="P144">
        <f t="shared" si="16"/>
        <v>88.075454106054949</v>
      </c>
      <c r="Q144">
        <f t="shared" si="17"/>
        <v>87.541252786460532</v>
      </c>
      <c r="R144" t="e">
        <f t="shared" si="18"/>
        <v>#NUM!</v>
      </c>
      <c r="V144">
        <f t="shared" si="21"/>
        <v>28.330712057151946</v>
      </c>
      <c r="W144">
        <f t="shared" si="22"/>
        <v>27.330712057151949</v>
      </c>
      <c r="X144">
        <f t="shared" si="23"/>
        <v>92.330712057151885</v>
      </c>
    </row>
    <row r="145" spans="1:24">
      <c r="A145">
        <f t="shared" si="14"/>
        <v>869.88599999999997</v>
      </c>
      <c r="B145">
        <v>617.6</v>
      </c>
      <c r="C145" s="1">
        <v>28.5</v>
      </c>
      <c r="D145" s="1">
        <v>280</v>
      </c>
      <c r="E145" s="1">
        <v>27</v>
      </c>
      <c r="F145" s="1">
        <v>276</v>
      </c>
      <c r="G145" s="1"/>
      <c r="H145" s="1"/>
      <c r="I145">
        <v>84.537000000000006</v>
      </c>
      <c r="J145">
        <v>18.678000000000001</v>
      </c>
      <c r="K145" s="1">
        <f t="shared" si="20"/>
        <v>-19</v>
      </c>
      <c r="L145" s="1">
        <f>20.5/38.75*180+180*1</f>
        <v>275.22580645161293</v>
      </c>
      <c r="N145" s="1"/>
      <c r="O145" s="1">
        <v>-0.15599999999999994</v>
      </c>
      <c r="P145">
        <f t="shared" si="16"/>
        <v>88.033954106054949</v>
      </c>
      <c r="Q145">
        <f t="shared" si="17"/>
        <v>87.564332189064487</v>
      </c>
      <c r="R145" t="e">
        <f t="shared" si="18"/>
        <v>#NUM!</v>
      </c>
      <c r="V145">
        <f t="shared" si="21"/>
        <v>29.796086133938537</v>
      </c>
      <c r="W145">
        <f t="shared" si="22"/>
        <v>25.796086133938552</v>
      </c>
      <c r="X145">
        <f t="shared" si="23"/>
        <v>109.79608613393857</v>
      </c>
    </row>
    <row r="146" spans="1:24">
      <c r="A146">
        <f t="shared" si="14"/>
        <v>870.38599999999997</v>
      </c>
      <c r="B146">
        <v>634.6</v>
      </c>
      <c r="C146" s="1">
        <v>29</v>
      </c>
      <c r="D146" s="1">
        <v>260</v>
      </c>
      <c r="E146" s="1">
        <v>27.2</v>
      </c>
      <c r="F146" s="1">
        <v>257</v>
      </c>
      <c r="G146" s="1"/>
      <c r="H146" s="1"/>
      <c r="I146">
        <v>84.680999999999997</v>
      </c>
      <c r="J146">
        <v>18.100999999999999</v>
      </c>
      <c r="K146" s="1">
        <f t="shared" si="20"/>
        <v>-19</v>
      </c>
      <c r="L146" s="1">
        <f>16/37.75*180+180*1</f>
        <v>256.29139072847681</v>
      </c>
      <c r="N146" s="1"/>
      <c r="O146" s="1">
        <v>-0.11349999999999995</v>
      </c>
      <c r="P146">
        <f t="shared" si="16"/>
        <v>88.142516863863861</v>
      </c>
      <c r="Q146">
        <f t="shared" si="17"/>
        <v>87.585934986568716</v>
      </c>
      <c r="R146" t="e">
        <f t="shared" si="18"/>
        <v>#NUM!</v>
      </c>
      <c r="V146">
        <f t="shared" si="21"/>
        <v>27.682312598117527</v>
      </c>
      <c r="W146">
        <f t="shared" si="22"/>
        <v>24.682312598117537</v>
      </c>
      <c r="X146">
        <f t="shared" si="23"/>
        <v>127.68231259811749</v>
      </c>
    </row>
    <row r="147" spans="1:24">
      <c r="A147">
        <f t="shared" si="14"/>
        <v>870.88599999999997</v>
      </c>
      <c r="B147">
        <v>652</v>
      </c>
      <c r="C147" s="1">
        <v>29</v>
      </c>
      <c r="D147" s="1">
        <v>239</v>
      </c>
      <c r="E147" s="1">
        <v>27.3</v>
      </c>
      <c r="F147" s="1">
        <v>238</v>
      </c>
      <c r="G147" s="1"/>
      <c r="H147" s="1"/>
      <c r="I147">
        <v>84.787999999999997</v>
      </c>
      <c r="J147">
        <v>17.989000000000001</v>
      </c>
      <c r="K147" s="1">
        <f t="shared" si="20"/>
        <v>-19</v>
      </c>
      <c r="L147" s="1">
        <f>12/37*180+180*1</f>
        <v>238.37837837837839</v>
      </c>
      <c r="N147" s="1"/>
      <c r="O147" s="1">
        <v>-0.1</v>
      </c>
      <c r="P147">
        <f t="shared" si="16"/>
        <v>88.129016863863853</v>
      </c>
      <c r="Q147">
        <f t="shared" si="17"/>
        <v>87.604309846699863</v>
      </c>
      <c r="R147" t="e">
        <f t="shared" si="18"/>
        <v>#NUM!</v>
      </c>
      <c r="V147">
        <f t="shared" si="21"/>
        <v>24.989391449688902</v>
      </c>
      <c r="W147">
        <f t="shared" si="22"/>
        <v>23.989391449688906</v>
      </c>
      <c r="X147">
        <f t="shared" si="23"/>
        <v>145.98939144968895</v>
      </c>
    </row>
    <row r="148" spans="1:24">
      <c r="A148">
        <f t="shared" ref="A148:A211" si="24">+A147+0.5</f>
        <v>871.38599999999997</v>
      </c>
      <c r="B148">
        <v>669.8</v>
      </c>
      <c r="C148" s="1">
        <v>29</v>
      </c>
      <c r="D148" s="1">
        <v>218</v>
      </c>
      <c r="E148" s="1">
        <v>27.5</v>
      </c>
      <c r="F148" s="1">
        <v>218</v>
      </c>
      <c r="G148" s="1"/>
      <c r="H148" s="1"/>
      <c r="I148">
        <v>84.974999999999994</v>
      </c>
      <c r="J148">
        <v>18.206</v>
      </c>
      <c r="K148" s="1">
        <f t="shared" si="20"/>
        <v>-20</v>
      </c>
      <c r="L148" s="1">
        <f>7.5/36*180+180*1</f>
        <v>217.5</v>
      </c>
      <c r="N148" s="1"/>
      <c r="O148" s="1">
        <v>-0.1</v>
      </c>
      <c r="P148">
        <f t="shared" si="16"/>
        <v>88.129016863863853</v>
      </c>
      <c r="Q148">
        <f t="shared" si="17"/>
        <v>87.667710782489991</v>
      </c>
      <c r="R148" t="e">
        <f t="shared" si="18"/>
        <v>#NUM!</v>
      </c>
      <c r="V148">
        <f t="shared" si="21"/>
        <v>22.717322688652821</v>
      </c>
      <c r="W148">
        <f t="shared" si="22"/>
        <v>22.717322688652821</v>
      </c>
      <c r="X148">
        <f t="shared" si="23"/>
        <v>164.71732268865279</v>
      </c>
    </row>
    <row r="149" spans="1:24">
      <c r="A149">
        <f t="shared" si="24"/>
        <v>871.88599999999997</v>
      </c>
      <c r="B149">
        <v>688</v>
      </c>
      <c r="C149" s="1">
        <v>29</v>
      </c>
      <c r="D149" s="1">
        <v>196</v>
      </c>
      <c r="E149" s="1">
        <v>27.5</v>
      </c>
      <c r="F149" s="1">
        <v>198</v>
      </c>
      <c r="G149" s="1"/>
      <c r="H149" s="1"/>
      <c r="I149">
        <v>85.256</v>
      </c>
      <c r="J149">
        <v>18.68</v>
      </c>
      <c r="K149" s="1">
        <f t="shared" si="20"/>
        <v>-20</v>
      </c>
      <c r="L149" s="1">
        <f>3.5/35*180+180*1</f>
        <v>198</v>
      </c>
      <c r="N149" s="1"/>
      <c r="O149" s="1">
        <v>-0.08</v>
      </c>
      <c r="P149">
        <f t="shared" si="16"/>
        <v>88.109016863863857</v>
      </c>
      <c r="Q149">
        <f t="shared" si="17"/>
        <v>87.647710782489995</v>
      </c>
      <c r="R149" t="e">
        <f t="shared" si="18"/>
        <v>#NUM!</v>
      </c>
      <c r="V149">
        <f t="shared" si="21"/>
        <v>19.866106315009127</v>
      </c>
      <c r="W149">
        <f t="shared" si="22"/>
        <v>21.866106315009119</v>
      </c>
      <c r="X149">
        <f t="shared" si="23"/>
        <v>-176.13389368499082</v>
      </c>
    </row>
    <row r="150" spans="1:24">
      <c r="A150">
        <f t="shared" si="24"/>
        <v>872.38599999999997</v>
      </c>
      <c r="B150">
        <v>707</v>
      </c>
      <c r="C150" s="1">
        <v>29.5</v>
      </c>
      <c r="D150" s="1">
        <v>174</v>
      </c>
      <c r="E150" s="1">
        <v>27.7</v>
      </c>
      <c r="F150" s="1">
        <v>177</v>
      </c>
      <c r="G150" s="1"/>
      <c r="H150" s="1"/>
      <c r="I150">
        <v>85.542000000000002</v>
      </c>
      <c r="J150">
        <v>19.135999999999999</v>
      </c>
      <c r="K150" s="1">
        <f t="shared" si="20"/>
        <v>-21</v>
      </c>
      <c r="L150" s="1">
        <f>33.5/34*180+180*0</f>
        <v>177.35294117647061</v>
      </c>
      <c r="N150" s="1"/>
      <c r="O150" s="1">
        <v>-3.2500000000000001E-2</v>
      </c>
      <c r="P150">
        <f t="shared" si="16"/>
        <v>88.209997225448006</v>
      </c>
      <c r="Q150">
        <f t="shared" si="17"/>
        <v>87.663152287173716</v>
      </c>
      <c r="R150" t="e">
        <f t="shared" si="18"/>
        <v>#NUM!</v>
      </c>
      <c r="V150">
        <f t="shared" si="21"/>
        <v>17.856594716150518</v>
      </c>
      <c r="W150">
        <f t="shared" si="22"/>
        <v>20.856594716150507</v>
      </c>
      <c r="X150">
        <f t="shared" si="23"/>
        <v>-156.14340528384952</v>
      </c>
    </row>
    <row r="151" spans="1:24">
      <c r="A151">
        <f t="shared" si="24"/>
        <v>872.88599999999997</v>
      </c>
      <c r="B151">
        <v>726.4</v>
      </c>
      <c r="C151" s="1">
        <v>30</v>
      </c>
      <c r="D151" s="1">
        <v>152</v>
      </c>
      <c r="E151" s="1">
        <v>28</v>
      </c>
      <c r="F151" s="1">
        <v>155</v>
      </c>
      <c r="G151" s="1"/>
      <c r="H151" s="1"/>
      <c r="I151">
        <v>85.728999999999999</v>
      </c>
      <c r="J151">
        <v>19.346</v>
      </c>
      <c r="K151" s="1">
        <f t="shared" si="20"/>
        <v>-22</v>
      </c>
      <c r="L151" s="1">
        <f>56/65.5*180+180*0</f>
        <v>153.89312977099237</v>
      </c>
      <c r="N151" s="1"/>
      <c r="O151" s="1">
        <v>1.2799999999999957E-2</v>
      </c>
      <c r="P151">
        <f t="shared" si="16"/>
        <v>88.310682000277978</v>
      </c>
      <c r="Q151">
        <f t="shared" si="17"/>
        <v>87.711417532729115</v>
      </c>
      <c r="R151" t="e">
        <f t="shared" si="18"/>
        <v>#NUM!</v>
      </c>
      <c r="V151">
        <f t="shared" si="21"/>
        <v>16.267935504683972</v>
      </c>
      <c r="W151">
        <f t="shared" si="22"/>
        <v>19.267935504683962</v>
      </c>
      <c r="X151">
        <f t="shared" si="23"/>
        <v>-135.73206449531597</v>
      </c>
    </row>
    <row r="152" spans="1:24">
      <c r="A152">
        <f t="shared" si="24"/>
        <v>873.38599999999997</v>
      </c>
      <c r="B152">
        <v>746.2</v>
      </c>
      <c r="C152" s="1">
        <v>30</v>
      </c>
      <c r="D152" s="1">
        <v>130</v>
      </c>
      <c r="E152" s="1">
        <v>28.1</v>
      </c>
      <c r="F152" s="1">
        <v>132</v>
      </c>
      <c r="G152" s="1"/>
      <c r="H152" s="1"/>
      <c r="I152">
        <v>85.754999999999995</v>
      </c>
      <c r="J152">
        <v>19.265999999999998</v>
      </c>
      <c r="K152" s="1">
        <f t="shared" si="20"/>
        <v>-23</v>
      </c>
      <c r="L152" s="1">
        <f>47/64*180+180*0</f>
        <v>132.1875</v>
      </c>
      <c r="N152" s="1"/>
      <c r="O152" s="1">
        <v>5.2400000000000092E-2</v>
      </c>
      <c r="P152">
        <f t="shared" si="16"/>
        <v>88.271082000277971</v>
      </c>
      <c r="Q152">
        <f t="shared" si="17"/>
        <v>87.702783303986322</v>
      </c>
      <c r="R152" t="e">
        <f t="shared" si="18"/>
        <v>#NUM!</v>
      </c>
      <c r="V152">
        <f t="shared" si="21"/>
        <v>15.10012868061029</v>
      </c>
      <c r="W152">
        <f t="shared" si="22"/>
        <v>17.100128680610283</v>
      </c>
      <c r="X152">
        <f t="shared" si="23"/>
        <v>-114.89987131938973</v>
      </c>
    </row>
    <row r="153" spans="1:24">
      <c r="A153">
        <f t="shared" si="24"/>
        <v>873.88599999999997</v>
      </c>
      <c r="B153">
        <v>766.6</v>
      </c>
      <c r="C153" s="1">
        <v>30</v>
      </c>
      <c r="D153" s="1">
        <v>108</v>
      </c>
      <c r="E153" s="1">
        <v>28.3</v>
      </c>
      <c r="F153" s="1">
        <v>109</v>
      </c>
      <c r="G153" s="1"/>
      <c r="H153" s="1"/>
      <c r="I153">
        <v>85.659000000000006</v>
      </c>
      <c r="J153">
        <v>18.800999999999998</v>
      </c>
      <c r="K153" s="1">
        <f t="shared" si="20"/>
        <v>-23</v>
      </c>
      <c r="L153" s="1">
        <f>38/63*180+180*0</f>
        <v>108.57142857142857</v>
      </c>
      <c r="N153" s="1"/>
      <c r="O153" s="1">
        <v>9.3200000000000061E-2</v>
      </c>
      <c r="P153">
        <f t="shared" si="16"/>
        <v>88.230282000277981</v>
      </c>
      <c r="Q153">
        <f t="shared" si="17"/>
        <v>87.723585616370542</v>
      </c>
      <c r="R153" t="e">
        <f t="shared" si="18"/>
        <v>#NUM!</v>
      </c>
      <c r="V153">
        <f t="shared" si="21"/>
        <v>14.563600437624942</v>
      </c>
      <c r="W153">
        <f t="shared" si="22"/>
        <v>15.563600437624938</v>
      </c>
      <c r="X153">
        <f t="shared" si="23"/>
        <v>-93.436399562374987</v>
      </c>
    </row>
    <row r="154" spans="1:24">
      <c r="A154">
        <f t="shared" si="24"/>
        <v>874.38599999999997</v>
      </c>
      <c r="B154">
        <v>787.6</v>
      </c>
      <c r="C154" s="1">
        <v>30.5</v>
      </c>
      <c r="D154" s="1">
        <v>86</v>
      </c>
      <c r="E154" s="1">
        <v>28.5</v>
      </c>
      <c r="F154" s="1">
        <v>86</v>
      </c>
      <c r="G154" s="1"/>
      <c r="H154" s="1"/>
      <c r="I154">
        <v>85.569000000000003</v>
      </c>
      <c r="J154">
        <v>17.885000000000002</v>
      </c>
      <c r="K154" s="1">
        <f t="shared" si="20"/>
        <v>-23</v>
      </c>
      <c r="L154" s="1">
        <f>29/62*180+180*0</f>
        <v>84.193548387096769</v>
      </c>
      <c r="N154" s="1"/>
      <c r="O154" s="1">
        <v>0.1</v>
      </c>
      <c r="P154">
        <f t="shared" si="16"/>
        <v>88.367053692820463</v>
      </c>
      <c r="Q154">
        <f t="shared" si="17"/>
        <v>87.777954106054949</v>
      </c>
      <c r="R154" t="e">
        <f t="shared" si="18"/>
        <v>#NUM!</v>
      </c>
      <c r="V154">
        <f t="shared" si="21"/>
        <v>14.658350775728568</v>
      </c>
      <c r="W154">
        <f t="shared" si="22"/>
        <v>14.658350775728568</v>
      </c>
      <c r="X154">
        <f t="shared" si="23"/>
        <v>-71.34164922427145</v>
      </c>
    </row>
    <row r="155" spans="1:24">
      <c r="A155">
        <f t="shared" si="24"/>
        <v>874.88599999999997</v>
      </c>
      <c r="B155">
        <v>809.2</v>
      </c>
      <c r="C155" s="1">
        <v>31</v>
      </c>
      <c r="D155" s="1">
        <v>62</v>
      </c>
      <c r="E155" s="1">
        <v>28.8</v>
      </c>
      <c r="F155" s="1">
        <v>62</v>
      </c>
      <c r="G155" s="1"/>
      <c r="H155" s="1"/>
      <c r="I155">
        <v>85.614999999999995</v>
      </c>
      <c r="J155">
        <v>16.515999999999998</v>
      </c>
      <c r="K155" s="1">
        <f t="shared" si="20"/>
        <v>-24</v>
      </c>
      <c r="L155" s="1">
        <f>20.5/59*180+180*0</f>
        <v>62.542372881355938</v>
      </c>
      <c r="N155" s="1"/>
      <c r="O155" s="1">
        <v>0.1</v>
      </c>
      <c r="P155">
        <f t="shared" si="16"/>
        <v>88.508290782570199</v>
      </c>
      <c r="Q155">
        <f t="shared" si="17"/>
        <v>87.86890666106936</v>
      </c>
      <c r="R155" t="e">
        <f t="shared" si="18"/>
        <v>#NUM!</v>
      </c>
      <c r="V155">
        <f t="shared" si="21"/>
        <v>13.384379694920696</v>
      </c>
      <c r="W155">
        <f t="shared" si="22"/>
        <v>13.384379694920696</v>
      </c>
      <c r="X155">
        <f t="shared" si="23"/>
        <v>-48.615620305079247</v>
      </c>
    </row>
    <row r="156" spans="1:24">
      <c r="A156">
        <f t="shared" si="24"/>
        <v>875.38599999999997</v>
      </c>
      <c r="B156">
        <v>831.4</v>
      </c>
      <c r="C156" s="1">
        <v>31</v>
      </c>
      <c r="D156" s="1">
        <v>38</v>
      </c>
      <c r="E156" s="1">
        <v>29</v>
      </c>
      <c r="F156" s="1">
        <v>37</v>
      </c>
      <c r="G156" s="1"/>
      <c r="H156" s="1"/>
      <c r="I156">
        <v>85.873000000000005</v>
      </c>
      <c r="J156">
        <v>14.647</v>
      </c>
      <c r="K156" s="1">
        <f t="shared" si="20"/>
        <v>-25</v>
      </c>
      <c r="L156" s="1">
        <f>12/57.5*180+180*0</f>
        <v>37.565217391304344</v>
      </c>
      <c r="N156" s="1"/>
      <c r="O156" s="1">
        <v>7.7200000000000046E-2</v>
      </c>
      <c r="P156">
        <f t="shared" si="16"/>
        <v>88.531090782570189</v>
      </c>
      <c r="Q156">
        <f t="shared" si="17"/>
        <v>87.951816863863854</v>
      </c>
      <c r="R156" t="e">
        <f t="shared" si="18"/>
        <v>#NUM!</v>
      </c>
      <c r="V156">
        <f t="shared" si="21"/>
        <v>12.741687195201479</v>
      </c>
      <c r="W156">
        <f t="shared" si="22"/>
        <v>11.741687195201482</v>
      </c>
      <c r="X156">
        <f t="shared" si="23"/>
        <v>-25.258312804798546</v>
      </c>
    </row>
    <row r="157" spans="1:24">
      <c r="A157">
        <f t="shared" si="24"/>
        <v>875.88599999999997</v>
      </c>
      <c r="B157">
        <v>854</v>
      </c>
      <c r="C157" s="1">
        <v>31</v>
      </c>
      <c r="D157" s="1">
        <v>13</v>
      </c>
      <c r="E157" s="1">
        <v>29.5</v>
      </c>
      <c r="F157" s="1">
        <v>10</v>
      </c>
      <c r="G157" s="1"/>
      <c r="H157" s="1"/>
      <c r="I157">
        <v>86.302999999999997</v>
      </c>
      <c r="J157">
        <v>11.891999999999999</v>
      </c>
      <c r="K157" s="1">
        <f t="shared" si="20"/>
        <v>-27</v>
      </c>
      <c r="L157" s="1">
        <f>3/56*180+180*0</f>
        <v>9.6428571428571423</v>
      </c>
      <c r="N157" s="1"/>
      <c r="O157" s="1">
        <v>3.2000000000000001E-2</v>
      </c>
      <c r="P157">
        <f t="shared" si="16"/>
        <v>88.576290782570197</v>
      </c>
      <c r="Q157">
        <f t="shared" si="17"/>
        <v>88.145497225448011</v>
      </c>
      <c r="R157" t="e">
        <f t="shared" si="18"/>
        <v>#NUM!</v>
      </c>
      <c r="V157">
        <f t="shared" si="21"/>
        <v>11.519847082874808</v>
      </c>
      <c r="W157">
        <f t="shared" si="22"/>
        <v>8.5198470828748185</v>
      </c>
      <c r="X157">
        <f t="shared" si="23"/>
        <v>-1.480152917125146</v>
      </c>
    </row>
    <row r="158" spans="1:24">
      <c r="A158">
        <f t="shared" si="24"/>
        <v>876.38599999999997</v>
      </c>
      <c r="B158">
        <v>877.4</v>
      </c>
      <c r="C158" s="1">
        <v>31</v>
      </c>
      <c r="D158" s="1">
        <v>346</v>
      </c>
      <c r="E158" s="1">
        <v>29.5</v>
      </c>
      <c r="F158" s="1">
        <v>343</v>
      </c>
      <c r="G158" s="1"/>
      <c r="H158" s="1"/>
      <c r="I158">
        <v>86.753</v>
      </c>
      <c r="J158">
        <v>8.2116000000000007</v>
      </c>
      <c r="K158" s="1">
        <f t="shared" si="20"/>
        <v>-27</v>
      </c>
      <c r="L158" s="1">
        <f>49/54*180+180*1</f>
        <v>343.33333333333337</v>
      </c>
      <c r="N158" s="1"/>
      <c r="O158" s="1">
        <v>0</v>
      </c>
      <c r="P158">
        <f t="shared" si="16"/>
        <v>88.608290782570194</v>
      </c>
      <c r="Q158">
        <f t="shared" si="17"/>
        <v>88.177497225448008</v>
      </c>
      <c r="R158" t="e">
        <f t="shared" si="18"/>
        <v>#NUM!</v>
      </c>
      <c r="V158">
        <f t="shared" si="21"/>
        <v>9.1397117453329102</v>
      </c>
      <c r="W158">
        <f t="shared" si="22"/>
        <v>6.139711745332761</v>
      </c>
      <c r="X158">
        <f t="shared" si="23"/>
        <v>23.13971174533286</v>
      </c>
    </row>
    <row r="159" spans="1:24">
      <c r="A159">
        <f t="shared" si="24"/>
        <v>876.88599999999997</v>
      </c>
      <c r="B159">
        <v>901.6</v>
      </c>
      <c r="C159" s="1">
        <v>31</v>
      </c>
      <c r="D159" s="1">
        <v>317</v>
      </c>
      <c r="E159" s="1">
        <v>29.5</v>
      </c>
      <c r="F159" s="1">
        <v>315</v>
      </c>
      <c r="G159" s="1"/>
      <c r="H159" s="1"/>
      <c r="I159">
        <v>87.043999999999997</v>
      </c>
      <c r="J159">
        <v>3.7593999999999999</v>
      </c>
      <c r="K159" s="1">
        <f t="shared" si="20"/>
        <v>-28</v>
      </c>
      <c r="L159" s="1">
        <f>40/53*180+180*1</f>
        <v>315.84905660377359</v>
      </c>
      <c r="N159" s="1"/>
      <c r="O159" s="1">
        <v>0</v>
      </c>
      <c r="P159">
        <f t="shared" si="16"/>
        <v>88.608290782570194</v>
      </c>
      <c r="Q159">
        <f t="shared" si="17"/>
        <v>88.177497225448008</v>
      </c>
      <c r="R159" t="e">
        <f t="shared" si="18"/>
        <v>#NUM!</v>
      </c>
      <c r="V159">
        <f t="shared" si="21"/>
        <v>5.6012811825759456</v>
      </c>
      <c r="W159">
        <f t="shared" si="22"/>
        <v>3.6012811825759528</v>
      </c>
      <c r="X159">
        <f t="shared" si="23"/>
        <v>48.601281182575953</v>
      </c>
    </row>
    <row r="160" spans="1:24">
      <c r="A160">
        <f t="shared" si="24"/>
        <v>877.38599999999997</v>
      </c>
      <c r="B160">
        <v>926.2</v>
      </c>
      <c r="C160" s="1">
        <v>30</v>
      </c>
      <c r="D160" s="1">
        <v>288</v>
      </c>
      <c r="E160" s="1">
        <v>29.5</v>
      </c>
      <c r="F160" s="1">
        <v>287</v>
      </c>
      <c r="G160" s="1"/>
      <c r="H160" s="1"/>
      <c r="I160">
        <v>87.069000000000003</v>
      </c>
      <c r="J160">
        <v>-0.74099999999999999</v>
      </c>
      <c r="K160" s="1">
        <f t="shared" si="20"/>
        <v>-28</v>
      </c>
      <c r="L160" s="1">
        <f>31/52*180+180*1</f>
        <v>287.30769230769232</v>
      </c>
      <c r="N160" s="1"/>
      <c r="O160" s="1">
        <v>0</v>
      </c>
      <c r="P160">
        <f t="shared" si="16"/>
        <v>88.323482000277977</v>
      </c>
      <c r="Q160">
        <f t="shared" si="17"/>
        <v>88.177497225448008</v>
      </c>
      <c r="R160" t="e">
        <f t="shared" si="18"/>
        <v>#NUM!</v>
      </c>
      <c r="V160">
        <f t="shared" si="21"/>
        <v>2.483703007211524</v>
      </c>
      <c r="W160">
        <f t="shared" si="22"/>
        <v>1.4837030072116875</v>
      </c>
      <c r="X160">
        <f t="shared" si="23"/>
        <v>74.483703007211588</v>
      </c>
    </row>
    <row r="161" spans="1:24">
      <c r="A161">
        <f t="shared" si="24"/>
        <v>877.88599999999997</v>
      </c>
      <c r="B161">
        <v>951.4</v>
      </c>
      <c r="C161" s="1">
        <v>30</v>
      </c>
      <c r="D161" s="1">
        <v>259</v>
      </c>
      <c r="E161" s="1">
        <v>29</v>
      </c>
      <c r="F161" s="1">
        <v>258</v>
      </c>
      <c r="G161" s="1"/>
      <c r="H161" s="1"/>
      <c r="I161">
        <v>86.835999999999999</v>
      </c>
      <c r="J161">
        <v>-3.9529999999999998</v>
      </c>
      <c r="K161" s="1">
        <f t="shared" si="20"/>
        <v>-29</v>
      </c>
      <c r="L161" s="1">
        <f>22/51*180+180*1</f>
        <v>257.64705882352939</v>
      </c>
      <c r="N161" s="1"/>
      <c r="O161" s="1">
        <v>0</v>
      </c>
      <c r="P161">
        <f t="shared" si="16"/>
        <v>88.323482000277977</v>
      </c>
      <c r="Q161">
        <f t="shared" si="17"/>
        <v>88.029016863863859</v>
      </c>
      <c r="R161" t="e">
        <f t="shared" si="18"/>
        <v>#NUM!</v>
      </c>
      <c r="V161">
        <f t="shared" si="21"/>
        <v>-2.5965870642430389E-3</v>
      </c>
      <c r="W161">
        <f t="shared" si="22"/>
        <v>-1.0025965870642395</v>
      </c>
      <c r="X161">
        <f t="shared" si="23"/>
        <v>100.99740341293571</v>
      </c>
    </row>
    <row r="162" spans="1:24">
      <c r="A162">
        <f t="shared" si="24"/>
        <v>878.38599999999997</v>
      </c>
      <c r="B162">
        <v>977.6</v>
      </c>
      <c r="C162" s="1">
        <v>29</v>
      </c>
      <c r="D162" s="1">
        <v>230</v>
      </c>
      <c r="E162" s="1">
        <v>28</v>
      </c>
      <c r="F162" s="1">
        <v>228</v>
      </c>
      <c r="G162" s="1"/>
      <c r="H162" s="1"/>
      <c r="I162">
        <v>86.448999999999998</v>
      </c>
      <c r="J162">
        <v>-6.0579999999999998</v>
      </c>
      <c r="K162" s="1">
        <f t="shared" si="20"/>
        <v>-30</v>
      </c>
      <c r="L162" s="1">
        <f>13/49*180+180*1</f>
        <v>227.75510204081633</v>
      </c>
      <c r="N162" s="1"/>
      <c r="O162" s="1">
        <v>0</v>
      </c>
      <c r="P162">
        <f t="shared" si="16"/>
        <v>88.029016863863859</v>
      </c>
      <c r="Q162">
        <f t="shared" si="17"/>
        <v>87.724217532729114</v>
      </c>
      <c r="R162" t="e">
        <f t="shared" si="18"/>
        <v>#NUM!</v>
      </c>
      <c r="V162">
        <f t="shared" si="21"/>
        <v>-1.4367652128589725</v>
      </c>
      <c r="W162">
        <f t="shared" si="22"/>
        <v>-3.4367652128589654</v>
      </c>
      <c r="X162">
        <f t="shared" si="23"/>
        <v>128.56323478714106</v>
      </c>
    </row>
    <row r="163" spans="1:24">
      <c r="A163">
        <f t="shared" si="24"/>
        <v>878.88599999999997</v>
      </c>
      <c r="B163">
        <v>1004.4</v>
      </c>
      <c r="C163" s="1">
        <v>28</v>
      </c>
      <c r="D163" s="1">
        <v>201</v>
      </c>
      <c r="E163" s="1">
        <v>26.5</v>
      </c>
      <c r="F163" s="1">
        <v>198</v>
      </c>
      <c r="G163" s="1"/>
      <c r="H163" s="1"/>
      <c r="I163">
        <v>86.087999999999994</v>
      </c>
      <c r="J163">
        <v>-6.9530000000000003</v>
      </c>
      <c r="K163" s="1">
        <f t="shared" si="20"/>
        <v>-30</v>
      </c>
      <c r="L163" s="1">
        <f>4.5/47.5*180+180*1</f>
        <v>197.05263157894737</v>
      </c>
      <c r="N163" s="1"/>
      <c r="O163" s="1">
        <v>0</v>
      </c>
      <c r="P163">
        <f t="shared" si="16"/>
        <v>87.724217532729114</v>
      </c>
      <c r="Q163">
        <f t="shared" si="17"/>
        <v>87.245974384620894</v>
      </c>
      <c r="R163" t="e">
        <f t="shared" si="18"/>
        <v>#NUM!</v>
      </c>
      <c r="V163">
        <f t="shared" si="21"/>
        <v>-2.2396552575650475</v>
      </c>
      <c r="W163">
        <f t="shared" si="22"/>
        <v>-5.2396552575651967</v>
      </c>
      <c r="X163">
        <f t="shared" si="23"/>
        <v>156.76034474243488</v>
      </c>
    </row>
    <row r="164" spans="1:24">
      <c r="A164">
        <f t="shared" si="24"/>
        <v>879.38599999999997</v>
      </c>
      <c r="B164">
        <v>1031.8</v>
      </c>
      <c r="C164" s="1">
        <v>27.5</v>
      </c>
      <c r="D164" s="1">
        <v>172</v>
      </c>
      <c r="E164" s="1">
        <v>25</v>
      </c>
      <c r="F164" s="1">
        <v>168</v>
      </c>
      <c r="G164" s="1"/>
      <c r="H164" s="1"/>
      <c r="I164">
        <v>85.947000000000003</v>
      </c>
      <c r="J164">
        <v>-6.8230000000000004</v>
      </c>
      <c r="K164" s="1">
        <f t="shared" si="20"/>
        <v>-30</v>
      </c>
      <c r="L164" s="1">
        <f>43/46.5*180+180*0</f>
        <v>166.45161290322579</v>
      </c>
      <c r="N164" s="1"/>
      <c r="O164" s="1">
        <v>0</v>
      </c>
      <c r="P164">
        <f t="shared" si="16"/>
        <v>87.567710782489996</v>
      </c>
      <c r="Q164">
        <f t="shared" si="17"/>
        <v>86.739857079325475</v>
      </c>
      <c r="R164" t="e">
        <f t="shared" si="18"/>
        <v>#NUM!</v>
      </c>
      <c r="V164">
        <f t="shared" si="21"/>
        <v>-2.4112667211824679</v>
      </c>
      <c r="W164">
        <f t="shared" si="22"/>
        <v>-6.4112667211824537</v>
      </c>
      <c r="X164">
        <f t="shared" si="23"/>
        <v>-174.4112667211825</v>
      </c>
    </row>
    <row r="165" spans="1:24">
      <c r="A165">
        <f t="shared" si="24"/>
        <v>879.88599999999997</v>
      </c>
      <c r="B165">
        <v>1060.2</v>
      </c>
      <c r="C165" s="1">
        <v>27</v>
      </c>
      <c r="D165" s="1">
        <v>141</v>
      </c>
      <c r="E165" s="1">
        <v>24</v>
      </c>
      <c r="F165" s="1">
        <f>34.5/45*180+180*0</f>
        <v>138</v>
      </c>
      <c r="G165" s="1"/>
      <c r="H165" s="1"/>
      <c r="I165">
        <v>86.122</v>
      </c>
      <c r="J165">
        <v>-6.7530000000000001</v>
      </c>
      <c r="K165" s="1">
        <f t="shared" si="20"/>
        <v>-30</v>
      </c>
      <c r="L165" s="1">
        <f>34.5/45*180+180*0</f>
        <v>138</v>
      </c>
      <c r="N165" s="1"/>
      <c r="O165" s="1">
        <v>0</v>
      </c>
      <c r="P165">
        <f t="shared" si="16"/>
        <v>87.408332189064481</v>
      </c>
      <c r="Q165">
        <f t="shared" si="17"/>
        <v>86.385281740116852</v>
      </c>
      <c r="R165" t="e">
        <f t="shared" si="18"/>
        <v>#NUM!</v>
      </c>
      <c r="V165">
        <f t="shared" si="21"/>
        <v>-3.5307472163186837</v>
      </c>
      <c r="W165">
        <f t="shared" si="22"/>
        <v>-6.5307472163186731</v>
      </c>
      <c r="X165">
        <f t="shared" si="23"/>
        <v>-144.53074721631867</v>
      </c>
    </row>
    <row r="166" spans="1:24">
      <c r="A166">
        <f t="shared" si="24"/>
        <v>880.38599999999997</v>
      </c>
      <c r="B166">
        <v>1089.2</v>
      </c>
      <c r="C166" s="1">
        <v>26.5</v>
      </c>
      <c r="D166" s="1">
        <v>111</v>
      </c>
      <c r="E166" s="1">
        <v>23.5</v>
      </c>
      <c r="F166" s="1">
        <v>110</v>
      </c>
      <c r="G166" s="1"/>
      <c r="H166" s="1"/>
      <c r="I166">
        <v>86.515000000000001</v>
      </c>
      <c r="J166">
        <v>-7.5750000000000002</v>
      </c>
      <c r="K166" s="1">
        <f t="shared" si="20"/>
        <v>-28</v>
      </c>
      <c r="L166" s="1">
        <f>27/44*180+180*0</f>
        <v>110.45454545454545</v>
      </c>
      <c r="N166" s="1"/>
      <c r="O166" s="1">
        <v>0</v>
      </c>
      <c r="P166">
        <f t="shared" si="16"/>
        <v>87.245974384620894</v>
      </c>
      <c r="Q166">
        <f t="shared" si="17"/>
        <v>86.202414151319459</v>
      </c>
      <c r="R166" t="e">
        <f t="shared" si="18"/>
        <v>#NUM!</v>
      </c>
      <c r="V166">
        <f t="shared" si="21"/>
        <v>-3.0189491303660887</v>
      </c>
      <c r="W166">
        <f t="shared" si="22"/>
        <v>-4.018949130366245</v>
      </c>
      <c r="X166">
        <f t="shared" si="23"/>
        <v>-114.01894913036617</v>
      </c>
    </row>
    <row r="167" spans="1:24">
      <c r="A167">
        <f t="shared" si="24"/>
        <v>880.88599999999997</v>
      </c>
      <c r="B167">
        <v>1118.8</v>
      </c>
      <c r="C167" s="1">
        <v>26.5</v>
      </c>
      <c r="D167" s="1">
        <v>81</v>
      </c>
      <c r="E167" s="1">
        <v>23.5</v>
      </c>
      <c r="F167" s="1">
        <v>82</v>
      </c>
      <c r="G167" s="1"/>
      <c r="H167" s="1"/>
      <c r="I167">
        <v>86.856999999999999</v>
      </c>
      <c r="J167">
        <v>-10.67</v>
      </c>
      <c r="K167" s="1">
        <f t="shared" si="20"/>
        <v>-28</v>
      </c>
      <c r="L167" s="1">
        <f>19.5/42.5*180+180*0</f>
        <v>82.588235294117638</v>
      </c>
      <c r="N167" s="1"/>
      <c r="O167" s="1">
        <v>2.5142857142857012E-2</v>
      </c>
      <c r="P167">
        <f t="shared" si="16"/>
        <v>87.22083152747804</v>
      </c>
      <c r="Q167">
        <f t="shared" si="17"/>
        <v>86.177271294176606</v>
      </c>
      <c r="R167" t="e">
        <f t="shared" si="18"/>
        <v>#NUM!</v>
      </c>
      <c r="V167">
        <f t="shared" si="21"/>
        <v>-1.8758724633251589</v>
      </c>
      <c r="W167">
        <f t="shared" si="22"/>
        <v>-0.87587246332516244</v>
      </c>
      <c r="X167">
        <f t="shared" si="23"/>
        <v>-82.875872463325194</v>
      </c>
    </row>
    <row r="168" spans="1:24">
      <c r="A168">
        <f t="shared" si="24"/>
        <v>881.38599999999997</v>
      </c>
      <c r="B168">
        <v>1149.5999999999999</v>
      </c>
      <c r="C168" s="1">
        <v>27</v>
      </c>
      <c r="D168" s="1">
        <v>50</v>
      </c>
      <c r="E168" s="1">
        <v>23.5</v>
      </c>
      <c r="F168" s="1">
        <v>52</v>
      </c>
      <c r="G168" s="1"/>
      <c r="H168" s="1"/>
      <c r="I168">
        <v>86.918000000000006</v>
      </c>
      <c r="J168">
        <v>-15.59</v>
      </c>
      <c r="K168" s="1">
        <f t="shared" si="20"/>
        <v>-30</v>
      </c>
      <c r="L168" s="1">
        <f>12/41.5*180+180*0</f>
        <v>52.048192771084338</v>
      </c>
      <c r="N168" s="1"/>
      <c r="O168" s="1">
        <v>0.11314285714285688</v>
      </c>
      <c r="P168">
        <f t="shared" si="16"/>
        <v>87.29518933192162</v>
      </c>
      <c r="Q168">
        <f t="shared" si="17"/>
        <v>86.089271294176598</v>
      </c>
      <c r="R168" t="e">
        <f t="shared" si="18"/>
        <v>#NUM!</v>
      </c>
      <c r="V168">
        <f t="shared" si="21"/>
        <v>-0.47023863410691646</v>
      </c>
      <c r="W168">
        <f t="shared" si="22"/>
        <v>1.5297613658932363</v>
      </c>
      <c r="X168">
        <f t="shared" si="23"/>
        <v>-50.470238634106899</v>
      </c>
    </row>
    <row r="169" spans="1:24">
      <c r="A169">
        <f t="shared" si="24"/>
        <v>881.88599999999997</v>
      </c>
      <c r="B169">
        <v>1181</v>
      </c>
      <c r="C169" s="1">
        <v>27</v>
      </c>
      <c r="D169" s="1">
        <v>18</v>
      </c>
      <c r="E169" s="1">
        <v>23.5</v>
      </c>
      <c r="F169" s="1">
        <v>20</v>
      </c>
      <c r="G169" s="1"/>
      <c r="H169" s="1"/>
      <c r="I169">
        <v>86.69</v>
      </c>
      <c r="J169">
        <v>-20.53</v>
      </c>
      <c r="K169" s="1">
        <f t="shared" si="20"/>
        <v>-32</v>
      </c>
      <c r="L169" s="1">
        <f>4.5/40*180+180*0</f>
        <v>20.25</v>
      </c>
      <c r="N169" s="1"/>
      <c r="O169" s="1">
        <v>0.2</v>
      </c>
      <c r="P169">
        <f t="shared" ref="P169:P232" si="25">20*LOG(P$12*$C169/0.00002)-$N169-$O169+P$4</f>
        <v>87.208332189064478</v>
      </c>
      <c r="Q169">
        <f t="shared" ref="Q169:Q232" si="26">20*LOG(Q$12*$E169/0.00002)-$N169-$O169+Q$4</f>
        <v>86.002414151319456</v>
      </c>
      <c r="R169" t="e">
        <f t="shared" ref="R169:R232" si="27">20*LOG(R$12*$G169/0.00002)-$N169-$O169+R$4</f>
        <v>#NUM!</v>
      </c>
      <c r="V169">
        <f t="shared" si="21"/>
        <v>0.56667377620030379</v>
      </c>
      <c r="W169">
        <f t="shared" si="22"/>
        <v>2.5666737762002967</v>
      </c>
      <c r="X169">
        <f t="shared" si="23"/>
        <v>-17.433326223799632</v>
      </c>
    </row>
    <row r="170" spans="1:24">
      <c r="A170">
        <f t="shared" si="24"/>
        <v>882.38599999999997</v>
      </c>
      <c r="B170">
        <v>1213.4000000000001</v>
      </c>
      <c r="C170" s="1">
        <v>27.5</v>
      </c>
      <c r="D170" s="1">
        <v>345</v>
      </c>
      <c r="E170" s="1">
        <v>24</v>
      </c>
      <c r="F170" s="1">
        <v>347</v>
      </c>
      <c r="G170" s="1"/>
      <c r="H170" s="1"/>
      <c r="I170">
        <v>86.378</v>
      </c>
      <c r="J170">
        <v>-23.79</v>
      </c>
      <c r="K170" s="1">
        <f t="shared" ref="K170:K230" si="28">+F170-F169+IF(F170-F169&gt;0,-360,0)</f>
        <v>-33</v>
      </c>
      <c r="L170" s="1">
        <f>36/39*180+180*1</f>
        <v>346.15384615384619</v>
      </c>
      <c r="N170" s="1"/>
      <c r="O170" s="1">
        <v>0.2</v>
      </c>
      <c r="P170">
        <f t="shared" si="25"/>
        <v>87.367710782489993</v>
      </c>
      <c r="Q170">
        <f t="shared" si="26"/>
        <v>86.185281740116849</v>
      </c>
      <c r="R170" t="e">
        <f t="shared" si="27"/>
        <v>#NUM!</v>
      </c>
      <c r="V170">
        <f t="shared" ref="V170:V230" si="29">(D170/360+V$4/V$5*$B170+0.5*V$6-INT(D170/360+V$4/V$5*$B170+0.5*V$6)+IF(D170/360+V$4/V$5*$B170+0.5*V$6-INT(D170/360+V$4/V$5*$B170+0.5*V$6)&gt;0.5,-1,0))*360</f>
        <v>1.6557171549885652</v>
      </c>
      <c r="W170">
        <f t="shared" ref="W170:W230" si="30">(F170/360+W$4/W$5*$B170+0.5*W$6-INT(F170/360+W$4/W$5*$B170+0.5*W$6)+IF(F170/360+W$4/W$5*$B170+0.5*W$6-INT(F170/360+W$4/W$5*$B170+0.5*W$6)&gt;0.5,-1,0))*360</f>
        <v>3.6557171549885581</v>
      </c>
      <c r="X170">
        <f t="shared" ref="X170:X230" si="31">(H170/360+X$4/X$5*$B170+0.5*X$6-INT(H170/360+X$4/X$5*$B170+0.5*X$6)+IF(H170/360+X$4/X$5*$B170+0.5*X$6-INT(H170/360+X$4/X$5*$B170+0.5*X$6)&gt;0.5,-1,0))*360</f>
        <v>16.655717154988672</v>
      </c>
    </row>
    <row r="171" spans="1:24">
      <c r="A171">
        <f t="shared" si="24"/>
        <v>882.88599999999997</v>
      </c>
      <c r="B171">
        <v>1246.5999999999999</v>
      </c>
      <c r="C171" s="1">
        <v>28</v>
      </c>
      <c r="D171" s="1">
        <v>308</v>
      </c>
      <c r="E171" s="1">
        <v>25.5</v>
      </c>
      <c r="F171" s="1">
        <v>312</v>
      </c>
      <c r="G171" s="1"/>
      <c r="H171" s="1"/>
      <c r="I171">
        <v>86.182000000000002</v>
      </c>
      <c r="J171">
        <v>-24.49</v>
      </c>
      <c r="K171" s="1">
        <f t="shared" si="28"/>
        <v>-35</v>
      </c>
      <c r="L171" s="1">
        <f>28/38*180+180*1</f>
        <v>312.63157894736844</v>
      </c>
      <c r="N171" s="1"/>
      <c r="O171" s="1">
        <v>0.2</v>
      </c>
      <c r="P171">
        <f t="shared" si="25"/>
        <v>87.524217532729111</v>
      </c>
      <c r="Q171">
        <f t="shared" si="26"/>
        <v>86.711860514563838</v>
      </c>
      <c r="R171" t="e">
        <f t="shared" si="27"/>
        <v>#NUM!</v>
      </c>
      <c r="V171">
        <f t="shared" si="29"/>
        <v>-0.41353469143839305</v>
      </c>
      <c r="W171">
        <f t="shared" si="30"/>
        <v>3.5864653085615927</v>
      </c>
      <c r="X171">
        <f t="shared" si="31"/>
        <v>51.586465308561742</v>
      </c>
    </row>
    <row r="172" spans="1:24">
      <c r="A172">
        <f t="shared" si="24"/>
        <v>883.38599999999997</v>
      </c>
      <c r="B172">
        <v>1280.8</v>
      </c>
      <c r="C172" s="1">
        <v>29</v>
      </c>
      <c r="D172" s="1">
        <v>271</v>
      </c>
      <c r="E172" s="1">
        <v>26</v>
      </c>
      <c r="F172" s="1">
        <v>272</v>
      </c>
      <c r="G172" s="1"/>
      <c r="H172" s="1"/>
      <c r="I172">
        <v>86.125</v>
      </c>
      <c r="J172">
        <v>-24.12</v>
      </c>
      <c r="K172" s="1">
        <f t="shared" si="28"/>
        <v>-40</v>
      </c>
      <c r="L172" s="1">
        <f>19/37.5*180+180*1</f>
        <v>271.2</v>
      </c>
      <c r="N172" s="1"/>
      <c r="O172" s="1">
        <v>0.17400000000000007</v>
      </c>
      <c r="P172">
        <f t="shared" si="25"/>
        <v>87.855016863863852</v>
      </c>
      <c r="Q172">
        <f t="shared" si="26"/>
        <v>86.906523865301097</v>
      </c>
      <c r="R172" t="e">
        <f t="shared" si="27"/>
        <v>#NUM!</v>
      </c>
      <c r="V172">
        <f t="shared" si="29"/>
        <v>-1.4306555693843137</v>
      </c>
      <c r="W172">
        <f t="shared" si="30"/>
        <v>-0.43065556938415739</v>
      </c>
      <c r="X172">
        <f t="shared" si="31"/>
        <v>87.569344430615843</v>
      </c>
    </row>
    <row r="173" spans="1:24">
      <c r="A173">
        <f t="shared" si="24"/>
        <v>883.88599999999997</v>
      </c>
      <c r="B173">
        <v>1315.8</v>
      </c>
      <c r="C173" s="1">
        <v>29</v>
      </c>
      <c r="D173" s="1">
        <v>230</v>
      </c>
      <c r="E173" s="1">
        <v>26.5</v>
      </c>
      <c r="F173" s="1">
        <v>232</v>
      </c>
      <c r="G173" s="1"/>
      <c r="H173" s="1"/>
      <c r="I173">
        <v>86.134</v>
      </c>
      <c r="J173">
        <v>-24.38</v>
      </c>
      <c r="K173" s="1">
        <f t="shared" si="28"/>
        <v>-40</v>
      </c>
      <c r="L173" s="1">
        <f>10/36.5*180+180*1</f>
        <v>229.31506849315068</v>
      </c>
      <c r="N173" s="1"/>
      <c r="O173" s="1">
        <v>0.13025000000000006</v>
      </c>
      <c r="P173">
        <f t="shared" si="25"/>
        <v>87.898766863863855</v>
      </c>
      <c r="Q173">
        <f t="shared" si="26"/>
        <v>87.11572438462089</v>
      </c>
      <c r="R173" t="e">
        <f t="shared" si="27"/>
        <v>#NUM!</v>
      </c>
      <c r="V173">
        <f t="shared" si="29"/>
        <v>-5.6060716725448145</v>
      </c>
      <c r="W173">
        <f t="shared" si="30"/>
        <v>-3.6060716725448216</v>
      </c>
      <c r="X173">
        <f t="shared" si="31"/>
        <v>124.39392832745504</v>
      </c>
    </row>
    <row r="174" spans="1:24">
      <c r="A174">
        <f t="shared" si="24"/>
        <v>884.38599999999997</v>
      </c>
      <c r="B174">
        <v>1351.8</v>
      </c>
      <c r="C174" s="1">
        <v>29</v>
      </c>
      <c r="D174" s="1">
        <v>189</v>
      </c>
      <c r="E174" s="1">
        <v>26.5</v>
      </c>
      <c r="F174" s="1">
        <v>192</v>
      </c>
      <c r="G174" s="1"/>
      <c r="H174" s="1"/>
      <c r="I174">
        <v>86.114999999999995</v>
      </c>
      <c r="J174">
        <v>-25.78</v>
      </c>
      <c r="K174" s="1">
        <f t="shared" si="28"/>
        <v>-40</v>
      </c>
      <c r="L174" s="1">
        <f>2/35.5*180+180*1</f>
        <v>190.14084507042253</v>
      </c>
      <c r="N174" s="1"/>
      <c r="O174" s="1">
        <v>0.1</v>
      </c>
      <c r="P174">
        <f t="shared" si="25"/>
        <v>87.929016863863865</v>
      </c>
      <c r="Q174">
        <f t="shared" si="26"/>
        <v>87.145974384620899</v>
      </c>
      <c r="R174" t="e">
        <f t="shared" si="27"/>
        <v>#NUM!</v>
      </c>
      <c r="V174">
        <f t="shared" si="29"/>
        <v>-8.7293568072245975</v>
      </c>
      <c r="W174">
        <f t="shared" si="30"/>
        <v>-5.729356807224768</v>
      </c>
      <c r="X174">
        <f t="shared" si="31"/>
        <v>162.27064319277528</v>
      </c>
    </row>
    <row r="175" spans="1:24">
      <c r="A175">
        <f t="shared" si="24"/>
        <v>884.88599999999997</v>
      </c>
      <c r="B175">
        <v>1388.8</v>
      </c>
      <c r="C175" s="1">
        <v>29</v>
      </c>
      <c r="D175" s="1">
        <v>148</v>
      </c>
      <c r="E175" s="1">
        <v>26</v>
      </c>
      <c r="F175" s="1">
        <v>154</v>
      </c>
      <c r="G175" s="1"/>
      <c r="H175" s="1"/>
      <c r="I175">
        <v>85.992999999999995</v>
      </c>
      <c r="J175">
        <v>-27.52</v>
      </c>
      <c r="K175" s="1">
        <f t="shared" si="28"/>
        <v>-38</v>
      </c>
      <c r="L175" s="1">
        <f>29.5/34.5*180+180*0</f>
        <v>153.91304347826087</v>
      </c>
      <c r="N175" s="1"/>
      <c r="O175" s="1">
        <v>0.1</v>
      </c>
      <c r="P175">
        <f t="shared" si="25"/>
        <v>87.929016863863865</v>
      </c>
      <c r="Q175">
        <f t="shared" si="26"/>
        <v>86.980523865301109</v>
      </c>
      <c r="R175" t="e">
        <f t="shared" si="27"/>
        <v>#NUM!</v>
      </c>
      <c r="V175">
        <f t="shared" si="29"/>
        <v>-10.800510973423343</v>
      </c>
      <c r="W175">
        <f t="shared" si="30"/>
        <v>-4.8005109734233642</v>
      </c>
      <c r="X175">
        <f t="shared" si="31"/>
        <v>-158.80051097342346</v>
      </c>
    </row>
    <row r="176" spans="1:24">
      <c r="A176">
        <f t="shared" si="24"/>
        <v>885.38599999999997</v>
      </c>
      <c r="B176">
        <v>1427</v>
      </c>
      <c r="C176" s="1">
        <v>28</v>
      </c>
      <c r="D176" s="1">
        <v>107</v>
      </c>
      <c r="E176" s="1">
        <v>25.5</v>
      </c>
      <c r="F176" s="1">
        <v>113</v>
      </c>
      <c r="G176" s="1"/>
      <c r="H176" s="1"/>
      <c r="I176">
        <v>85.858000000000004</v>
      </c>
      <c r="J176">
        <v>-28.04</v>
      </c>
      <c r="K176" s="1">
        <f t="shared" si="28"/>
        <v>-41</v>
      </c>
      <c r="L176" s="1">
        <f>21/33.5*180+180*0</f>
        <v>112.83582089552239</v>
      </c>
      <c r="N176" s="1"/>
      <c r="O176" s="1">
        <v>0.1</v>
      </c>
      <c r="P176">
        <f t="shared" si="25"/>
        <v>87.624217532729119</v>
      </c>
      <c r="Q176">
        <f t="shared" si="26"/>
        <v>86.811860514563847</v>
      </c>
      <c r="R176" t="e">
        <f t="shared" si="27"/>
        <v>#NUM!</v>
      </c>
      <c r="V176">
        <f t="shared" si="29"/>
        <v>-11.609107977444459</v>
      </c>
      <c r="W176">
        <f t="shared" si="30"/>
        <v>-5.6091079774444808</v>
      </c>
      <c r="X176">
        <f t="shared" si="31"/>
        <v>-118.60910797744455</v>
      </c>
    </row>
    <row r="177" spans="1:24">
      <c r="A177">
        <f t="shared" si="24"/>
        <v>885.88599999999997</v>
      </c>
      <c r="B177">
        <v>1465.8</v>
      </c>
      <c r="C177" s="1">
        <v>27</v>
      </c>
      <c r="D177" s="1">
        <v>63</v>
      </c>
      <c r="E177" s="1">
        <v>25</v>
      </c>
      <c r="F177" s="1">
        <v>68</v>
      </c>
      <c r="G177" s="1"/>
      <c r="H177" s="1"/>
      <c r="I177">
        <v>85.866</v>
      </c>
      <c r="J177">
        <v>-27.03</v>
      </c>
      <c r="K177" s="1">
        <f t="shared" si="28"/>
        <v>-45</v>
      </c>
      <c r="L177" s="1">
        <f>12.5/33*180+180*0</f>
        <v>68.181818181818187</v>
      </c>
      <c r="N177" s="1"/>
      <c r="O177" s="1">
        <v>0.1</v>
      </c>
      <c r="P177">
        <f t="shared" si="25"/>
        <v>87.308332189064487</v>
      </c>
      <c r="Q177">
        <f t="shared" si="26"/>
        <v>86.639857079325481</v>
      </c>
      <c r="R177" t="e">
        <f t="shared" si="27"/>
        <v>#NUM!</v>
      </c>
      <c r="V177">
        <f t="shared" si="29"/>
        <v>-14.786426400377231</v>
      </c>
      <c r="W177">
        <f t="shared" si="30"/>
        <v>-9.7864264003770884</v>
      </c>
      <c r="X177">
        <f t="shared" si="31"/>
        <v>-77.786426400377167</v>
      </c>
    </row>
    <row r="178" spans="1:24">
      <c r="A178">
        <f t="shared" si="24"/>
        <v>886.38599999999997</v>
      </c>
      <c r="B178">
        <v>1506.2</v>
      </c>
      <c r="C178" s="1">
        <v>26.5</v>
      </c>
      <c r="D178" s="1">
        <v>20</v>
      </c>
      <c r="E178" s="1">
        <v>25</v>
      </c>
      <c r="F178" s="1">
        <v>23</v>
      </c>
      <c r="G178" s="1"/>
      <c r="H178" s="1"/>
      <c r="I178">
        <v>86.042000000000002</v>
      </c>
      <c r="J178">
        <v>-25.93</v>
      </c>
      <c r="K178" s="1">
        <f t="shared" si="28"/>
        <v>-45</v>
      </c>
      <c r="L178" s="1">
        <f>4/32*180+180*0</f>
        <v>22.5</v>
      </c>
      <c r="N178" s="1"/>
      <c r="O178" s="1">
        <v>0.1</v>
      </c>
      <c r="P178">
        <f t="shared" si="25"/>
        <v>87.145974384620899</v>
      </c>
      <c r="Q178">
        <f t="shared" si="26"/>
        <v>86.639857079325481</v>
      </c>
      <c r="R178" t="e">
        <f t="shared" si="27"/>
        <v>#NUM!</v>
      </c>
      <c r="V178">
        <f t="shared" si="29"/>
        <v>-15.280335273739993</v>
      </c>
      <c r="W178">
        <f t="shared" si="30"/>
        <v>-12.280335273739844</v>
      </c>
      <c r="X178">
        <f t="shared" si="31"/>
        <v>-35.280335273739922</v>
      </c>
    </row>
    <row r="179" spans="1:24">
      <c r="A179">
        <f t="shared" si="24"/>
        <v>886.88599999999997</v>
      </c>
      <c r="B179">
        <v>1547.2</v>
      </c>
      <c r="C179" s="1">
        <v>26.5</v>
      </c>
      <c r="D179" s="1">
        <v>336</v>
      </c>
      <c r="E179" s="1">
        <v>25</v>
      </c>
      <c r="F179" s="1">
        <v>340</v>
      </c>
      <c r="G179" s="1"/>
      <c r="H179" s="1"/>
      <c r="I179">
        <v>86.216999999999999</v>
      </c>
      <c r="J179">
        <v>-26.24</v>
      </c>
      <c r="K179" s="1">
        <f t="shared" si="28"/>
        <v>-43</v>
      </c>
      <c r="L179" s="1">
        <f>27.5/31*180+180*1</f>
        <v>339.67741935483872</v>
      </c>
      <c r="N179" s="1"/>
      <c r="O179" s="1">
        <v>0.13720000000000004</v>
      </c>
      <c r="P179">
        <f t="shared" si="25"/>
        <v>87.108774384620887</v>
      </c>
      <c r="Q179">
        <f t="shared" si="26"/>
        <v>86.602657079325468</v>
      </c>
      <c r="R179" t="e">
        <f t="shared" si="27"/>
        <v>#NUM!</v>
      </c>
      <c r="V179">
        <f t="shared" si="29"/>
        <v>-16.142965566014098</v>
      </c>
      <c r="W179">
        <f t="shared" si="30"/>
        <v>-12.142965566014112</v>
      </c>
      <c r="X179">
        <f t="shared" si="31"/>
        <v>7.8570344339858167</v>
      </c>
    </row>
    <row r="180" spans="1:24">
      <c r="A180">
        <f t="shared" si="24"/>
        <v>887.38599999999997</v>
      </c>
      <c r="B180">
        <v>1589.8</v>
      </c>
      <c r="C180" s="1">
        <v>26.5</v>
      </c>
      <c r="D180" s="1">
        <v>293</v>
      </c>
      <c r="E180" s="1">
        <v>24.5</v>
      </c>
      <c r="F180" s="1">
        <v>297</v>
      </c>
      <c r="G180" s="1"/>
      <c r="H180" s="1"/>
      <c r="I180">
        <v>86.13</v>
      </c>
      <c r="J180">
        <v>-27.48</v>
      </c>
      <c r="K180" s="1">
        <f t="shared" si="28"/>
        <v>-43</v>
      </c>
      <c r="L180" s="1">
        <f>19.5/30*180+180*1</f>
        <v>297</v>
      </c>
      <c r="N180" s="1"/>
      <c r="O180" s="1">
        <v>0.17979999999999996</v>
      </c>
      <c r="P180">
        <f t="shared" si="25"/>
        <v>87.066174384620894</v>
      </c>
      <c r="Q180">
        <f t="shared" si="26"/>
        <v>86.384578593175377</v>
      </c>
      <c r="R180" t="e">
        <f t="shared" si="27"/>
        <v>#NUM!</v>
      </c>
      <c r="V180">
        <f t="shared" si="29"/>
        <v>-14.322186308718514</v>
      </c>
      <c r="W180">
        <f t="shared" si="30"/>
        <v>-10.322186308718528</v>
      </c>
      <c r="X180">
        <f t="shared" si="31"/>
        <v>52.677813691281408</v>
      </c>
    </row>
    <row r="181" spans="1:24">
      <c r="A181">
        <f t="shared" si="24"/>
        <v>887.88599999999997</v>
      </c>
      <c r="B181">
        <v>1633.2</v>
      </c>
      <c r="C181" s="1">
        <v>27</v>
      </c>
      <c r="D181" s="1">
        <v>248</v>
      </c>
      <c r="E181" s="1">
        <v>24.5</v>
      </c>
      <c r="F181" s="1">
        <v>251</v>
      </c>
      <c r="G181" s="1"/>
      <c r="H181" s="1"/>
      <c r="I181">
        <v>85.784000000000006</v>
      </c>
      <c r="J181">
        <v>-27.76</v>
      </c>
      <c r="K181" s="1">
        <f t="shared" si="28"/>
        <v>-46</v>
      </c>
      <c r="L181" s="1">
        <f>11.5/29.5*180+180*1</f>
        <v>250.16949152542372</v>
      </c>
      <c r="N181" s="1"/>
      <c r="O181" s="1">
        <v>0.2</v>
      </c>
      <c r="P181">
        <f t="shared" si="25"/>
        <v>87.208332189064478</v>
      </c>
      <c r="Q181">
        <f t="shared" si="26"/>
        <v>86.364378593175374</v>
      </c>
      <c r="R181" t="e">
        <f t="shared" si="27"/>
        <v>#NUM!</v>
      </c>
      <c r="V181">
        <f t="shared" si="29"/>
        <v>-13.659702276637837</v>
      </c>
      <c r="W181">
        <f t="shared" si="30"/>
        <v>-10.659702276638008</v>
      </c>
      <c r="X181">
        <f t="shared" si="31"/>
        <v>98.340297723362085</v>
      </c>
    </row>
    <row r="182" spans="1:24">
      <c r="A182">
        <f t="shared" si="24"/>
        <v>888.38599999999997</v>
      </c>
      <c r="B182">
        <v>1678</v>
      </c>
      <c r="C182" s="1">
        <v>29</v>
      </c>
      <c r="D182" s="1">
        <v>199</v>
      </c>
      <c r="E182" s="1">
        <v>25</v>
      </c>
      <c r="F182" s="1">
        <v>203</v>
      </c>
      <c r="G182" s="1"/>
      <c r="H182" s="1"/>
      <c r="I182">
        <v>85.504999999999995</v>
      </c>
      <c r="J182">
        <v>-26.71</v>
      </c>
      <c r="K182" s="1">
        <f t="shared" si="28"/>
        <v>-48</v>
      </c>
      <c r="L182" s="1">
        <f>3.5/28.5*180+180*1</f>
        <v>202.10526315789474</v>
      </c>
      <c r="N182" s="1"/>
      <c r="O182" s="1">
        <v>0.2</v>
      </c>
      <c r="P182">
        <f t="shared" si="25"/>
        <v>87.829016863863856</v>
      </c>
      <c r="Q182">
        <f t="shared" si="26"/>
        <v>86.539857079325472</v>
      </c>
      <c r="R182" t="e">
        <f t="shared" si="27"/>
        <v>#NUM!</v>
      </c>
      <c r="V182">
        <f t="shared" si="29"/>
        <v>-15.524234888683885</v>
      </c>
      <c r="W182">
        <f t="shared" si="30"/>
        <v>-11.5242348886839</v>
      </c>
      <c r="X182">
        <f t="shared" si="31"/>
        <v>145.47576511131604</v>
      </c>
    </row>
    <row r="183" spans="1:24">
      <c r="A183">
        <f t="shared" si="24"/>
        <v>888.88599999999997</v>
      </c>
      <c r="B183">
        <v>1723.8</v>
      </c>
      <c r="C183" s="1">
        <v>29.5</v>
      </c>
      <c r="D183" s="1">
        <v>150</v>
      </c>
      <c r="E183" s="1">
        <v>25.5</v>
      </c>
      <c r="F183" s="1">
        <v>155</v>
      </c>
      <c r="G183" s="1"/>
      <c r="H183" s="1"/>
      <c r="I183">
        <v>85.549000000000007</v>
      </c>
      <c r="J183">
        <v>-25.92</v>
      </c>
      <c r="K183" s="1">
        <f t="shared" si="28"/>
        <v>-48</v>
      </c>
      <c r="L183" s="1">
        <f>24/28*180+180*0</f>
        <v>154.28571428571428</v>
      </c>
      <c r="N183" s="1"/>
      <c r="O183" s="1">
        <v>0.2</v>
      </c>
      <c r="P183">
        <f t="shared" si="25"/>
        <v>87.977497225448005</v>
      </c>
      <c r="Q183">
        <f t="shared" si="26"/>
        <v>86.711860514563838</v>
      </c>
      <c r="R183" t="e">
        <f t="shared" si="27"/>
        <v>#NUM!</v>
      </c>
      <c r="V183">
        <f t="shared" si="29"/>
        <v>-16.336636532248576</v>
      </c>
      <c r="W183">
        <f t="shared" si="30"/>
        <v>-11.336636532248754</v>
      </c>
      <c r="X183">
        <f t="shared" si="31"/>
        <v>-166.33663653224869</v>
      </c>
    </row>
    <row r="184" spans="1:24">
      <c r="A184">
        <f t="shared" si="24"/>
        <v>889.38599999999997</v>
      </c>
      <c r="B184">
        <v>1771.2</v>
      </c>
      <c r="C184" s="1">
        <v>29.5</v>
      </c>
      <c r="D184" s="1">
        <v>99</v>
      </c>
      <c r="E184" s="1">
        <v>26</v>
      </c>
      <c r="F184" s="1">
        <v>107</v>
      </c>
      <c r="G184" s="1"/>
      <c r="H184" s="1"/>
      <c r="I184">
        <v>85.832999999999998</v>
      </c>
      <c r="J184">
        <v>-27.63</v>
      </c>
      <c r="K184" s="1">
        <f t="shared" si="28"/>
        <v>-48</v>
      </c>
      <c r="L184" s="1">
        <f>16/27*180+180*0</f>
        <v>106.66666666666666</v>
      </c>
      <c r="N184" s="1"/>
      <c r="O184" s="1">
        <v>0.2</v>
      </c>
      <c r="P184">
        <f t="shared" si="25"/>
        <v>87.977497225448005</v>
      </c>
      <c r="Q184">
        <f t="shared" si="26"/>
        <v>86.8805238653011</v>
      </c>
      <c r="R184" t="e">
        <f t="shared" si="27"/>
        <v>#NUM!</v>
      </c>
      <c r="V184">
        <f t="shared" si="29"/>
        <v>-17.465628626243728</v>
      </c>
      <c r="W184">
        <f t="shared" si="30"/>
        <v>-9.4656286262437561</v>
      </c>
      <c r="X184">
        <f t="shared" si="31"/>
        <v>-116.46562862624386</v>
      </c>
    </row>
    <row r="185" spans="1:24">
      <c r="A185">
        <f t="shared" si="24"/>
        <v>889.88599999999997</v>
      </c>
      <c r="B185">
        <v>1819.6</v>
      </c>
      <c r="C185" s="1">
        <v>29</v>
      </c>
      <c r="D185" s="1">
        <v>46</v>
      </c>
      <c r="E185" s="1">
        <v>26.5</v>
      </c>
      <c r="F185" s="1">
        <v>55</v>
      </c>
      <c r="G185" s="1"/>
      <c r="H185" s="1"/>
      <c r="I185">
        <v>85.921000000000006</v>
      </c>
      <c r="J185">
        <v>-32.42</v>
      </c>
      <c r="K185" s="1">
        <f t="shared" si="28"/>
        <v>-52</v>
      </c>
      <c r="L185" s="1">
        <f>8/26*180+180*0</f>
        <v>55.384615384615387</v>
      </c>
      <c r="N185" s="1"/>
      <c r="O185" s="1">
        <v>0.2</v>
      </c>
      <c r="P185">
        <f t="shared" si="25"/>
        <v>87.829016863863856</v>
      </c>
      <c r="Q185">
        <f t="shared" si="26"/>
        <v>87.045974384620891</v>
      </c>
      <c r="R185" t="e">
        <f t="shared" si="27"/>
        <v>#NUM!</v>
      </c>
      <c r="V185">
        <f t="shared" si="29"/>
        <v>-19.542489751757515</v>
      </c>
      <c r="W185">
        <f t="shared" si="30"/>
        <v>-10.542489751757707</v>
      </c>
      <c r="X185">
        <f t="shared" si="31"/>
        <v>-65.542489751757671</v>
      </c>
    </row>
    <row r="186" spans="1:24">
      <c r="A186">
        <f t="shared" si="24"/>
        <v>890.38599999999997</v>
      </c>
      <c r="B186">
        <v>1869.4</v>
      </c>
      <c r="C186" s="1">
        <v>28</v>
      </c>
      <c r="D186" s="1">
        <v>351</v>
      </c>
      <c r="E186" s="1">
        <v>26</v>
      </c>
      <c r="F186" s="1">
        <v>358</v>
      </c>
      <c r="G186" s="1"/>
      <c r="H186" s="1"/>
      <c r="I186">
        <v>85.481999999999999</v>
      </c>
      <c r="J186">
        <v>-36.979999999999997</v>
      </c>
      <c r="K186" s="1">
        <f t="shared" si="28"/>
        <v>-57</v>
      </c>
      <c r="L186" s="1">
        <f>25/25.5*180+180*1</f>
        <v>356.47058823529414</v>
      </c>
      <c r="N186" s="1"/>
      <c r="O186" s="1">
        <v>0.24490909090909099</v>
      </c>
      <c r="P186">
        <f t="shared" si="25"/>
        <v>87.479308441820024</v>
      </c>
      <c r="Q186">
        <f t="shared" si="26"/>
        <v>86.835614774392013</v>
      </c>
      <c r="R186" t="e">
        <f t="shared" si="27"/>
        <v>#NUM!</v>
      </c>
      <c r="V186">
        <f t="shared" si="29"/>
        <v>-22.146367521398034</v>
      </c>
      <c r="W186">
        <f t="shared" si="30"/>
        <v>-15.146367521397899</v>
      </c>
      <c r="X186">
        <f t="shared" si="31"/>
        <v>-13.146367521397906</v>
      </c>
    </row>
    <row r="187" spans="1:24">
      <c r="A187">
        <f t="shared" si="24"/>
        <v>890.88599999999997</v>
      </c>
      <c r="B187">
        <v>1920.4</v>
      </c>
      <c r="C187" s="1">
        <v>26</v>
      </c>
      <c r="D187" s="1">
        <v>294</v>
      </c>
      <c r="E187" s="1">
        <v>25</v>
      </c>
      <c r="F187" s="1">
        <v>302</v>
      </c>
      <c r="G187" s="1"/>
      <c r="H187" s="1"/>
      <c r="I187">
        <v>84.869</v>
      </c>
      <c r="J187">
        <v>-37.89</v>
      </c>
      <c r="K187" s="1">
        <f t="shared" si="28"/>
        <v>-56</v>
      </c>
      <c r="L187" s="1">
        <f>17/25*180+180*1</f>
        <v>302.39999999999998</v>
      </c>
      <c r="N187" s="1"/>
      <c r="O187" s="1">
        <v>0.29127272727272735</v>
      </c>
      <c r="P187">
        <f t="shared" si="25"/>
        <v>86.789251138028376</v>
      </c>
      <c r="Q187">
        <f t="shared" si="26"/>
        <v>86.448584352052748</v>
      </c>
      <c r="R187" t="e">
        <f t="shared" si="27"/>
        <v>#NUM!</v>
      </c>
      <c r="V187">
        <f t="shared" si="29"/>
        <v>-25.487688128860917</v>
      </c>
      <c r="W187">
        <f t="shared" si="30"/>
        <v>-17.487688128860945</v>
      </c>
      <c r="X187">
        <f t="shared" si="31"/>
        <v>40.512311871139168</v>
      </c>
    </row>
    <row r="188" spans="1:24">
      <c r="A188">
        <f t="shared" si="24"/>
        <v>891.38599999999997</v>
      </c>
      <c r="B188">
        <v>1973.2</v>
      </c>
      <c r="C188" s="1">
        <v>25</v>
      </c>
      <c r="D188" s="1">
        <v>239</v>
      </c>
      <c r="E188" s="1">
        <v>24</v>
      </c>
      <c r="F188" s="1">
        <v>246</v>
      </c>
      <c r="G188" s="1"/>
      <c r="H188" s="1"/>
      <c r="I188">
        <v>84.68</v>
      </c>
      <c r="J188">
        <v>-36.11</v>
      </c>
      <c r="K188" s="1">
        <f t="shared" si="28"/>
        <v>-56</v>
      </c>
      <c r="L188" s="1">
        <f>9/24.5*180+180*1</f>
        <v>246.12244897959184</v>
      </c>
      <c r="N188" s="1"/>
      <c r="O188" s="1">
        <v>0.33600000000000002</v>
      </c>
      <c r="P188">
        <f t="shared" si="25"/>
        <v>86.403857079325476</v>
      </c>
      <c r="Q188">
        <f t="shared" si="26"/>
        <v>86.049281740116854</v>
      </c>
      <c r="R188" t="e">
        <f t="shared" si="27"/>
        <v>#NUM!</v>
      </c>
      <c r="V188">
        <f t="shared" si="29"/>
        <v>-24.935172993058003</v>
      </c>
      <c r="W188">
        <f t="shared" si="30"/>
        <v>-17.935172993057868</v>
      </c>
      <c r="X188">
        <f t="shared" si="31"/>
        <v>96.064827006942039</v>
      </c>
    </row>
    <row r="189" spans="1:24">
      <c r="A189">
        <f t="shared" si="24"/>
        <v>891.88599999999997</v>
      </c>
      <c r="B189">
        <v>2026</v>
      </c>
      <c r="C189" s="1">
        <v>25</v>
      </c>
      <c r="D189" s="1">
        <v>185</v>
      </c>
      <c r="E189" s="1">
        <v>24</v>
      </c>
      <c r="F189" s="1">
        <v>189</v>
      </c>
      <c r="G189" s="1"/>
      <c r="H189" s="1"/>
      <c r="I189">
        <v>85.085999999999999</v>
      </c>
      <c r="J189">
        <v>-35</v>
      </c>
      <c r="K189" s="1">
        <f t="shared" si="28"/>
        <v>-57</v>
      </c>
      <c r="L189" s="1">
        <f>1.2/23.5*180+180*1</f>
        <v>189.19148936170214</v>
      </c>
      <c r="N189" s="1"/>
      <c r="O189" s="1">
        <v>0.38</v>
      </c>
      <c r="P189">
        <f t="shared" si="25"/>
        <v>86.359857079325479</v>
      </c>
      <c r="Q189">
        <f t="shared" si="26"/>
        <v>86.005281740116857</v>
      </c>
      <c r="R189" t="e">
        <f t="shared" si="27"/>
        <v>#NUM!</v>
      </c>
      <c r="V189">
        <f t="shared" si="29"/>
        <v>-23.382657857255253</v>
      </c>
      <c r="W189">
        <f t="shared" si="30"/>
        <v>-19.382657857254948</v>
      </c>
      <c r="X189">
        <f t="shared" si="31"/>
        <v>151.61734214274492</v>
      </c>
    </row>
    <row r="190" spans="1:24">
      <c r="A190">
        <f t="shared" si="24"/>
        <v>892.38599999999997</v>
      </c>
      <c r="B190">
        <v>2082</v>
      </c>
      <c r="C190" s="1">
        <v>26</v>
      </c>
      <c r="D190" s="1">
        <v>130</v>
      </c>
      <c r="E190" s="1">
        <v>24.5</v>
      </c>
      <c r="F190" s="1">
        <v>132</v>
      </c>
      <c r="G190" s="1"/>
      <c r="H190" s="1"/>
      <c r="I190">
        <v>85.692999999999998</v>
      </c>
      <c r="J190">
        <v>-36.99</v>
      </c>
      <c r="K190" s="1">
        <f t="shared" si="28"/>
        <v>-57</v>
      </c>
      <c r="L190" s="1">
        <f>17/23*180+180*0</f>
        <v>133.04347826086956</v>
      </c>
      <c r="N190" s="1"/>
      <c r="O190" s="1">
        <v>0.37538461538461537</v>
      </c>
      <c r="P190">
        <f t="shared" si="25"/>
        <v>86.705139249916485</v>
      </c>
      <c r="Q190">
        <f t="shared" si="26"/>
        <v>86.188993977790759</v>
      </c>
      <c r="R190" t="e">
        <f t="shared" si="27"/>
        <v>#NUM!</v>
      </c>
      <c r="V190">
        <f t="shared" si="29"/>
        <v>-19.463323622312316</v>
      </c>
      <c r="W190">
        <f t="shared" si="30"/>
        <v>-17.463323622312323</v>
      </c>
      <c r="X190">
        <f t="shared" si="31"/>
        <v>-149.46332362231217</v>
      </c>
    </row>
    <row r="191" spans="1:24">
      <c r="A191">
        <f t="shared" si="24"/>
        <v>892.88599999999997</v>
      </c>
      <c r="B191">
        <v>2140</v>
      </c>
      <c r="C191" s="1">
        <v>27</v>
      </c>
      <c r="D191" s="1">
        <v>75</v>
      </c>
      <c r="E191" s="1">
        <v>25.5</v>
      </c>
      <c r="F191" s="1">
        <v>75</v>
      </c>
      <c r="G191" s="1"/>
      <c r="H191" s="1"/>
      <c r="I191">
        <v>86.022000000000006</v>
      </c>
      <c r="J191">
        <v>-40.79</v>
      </c>
      <c r="K191" s="1">
        <f t="shared" si="28"/>
        <v>-57</v>
      </c>
      <c r="L191" s="1">
        <f>9.5/22.5*180+180*0</f>
        <v>76</v>
      </c>
      <c r="N191" s="1"/>
      <c r="O191" s="1">
        <v>0.33076923076923076</v>
      </c>
      <c r="P191">
        <f t="shared" si="25"/>
        <v>87.077562958295246</v>
      </c>
      <c r="Q191">
        <f t="shared" si="26"/>
        <v>86.581091283794606</v>
      </c>
      <c r="R191" t="e">
        <f t="shared" si="27"/>
        <v>#NUM!</v>
      </c>
      <c r="V191">
        <f t="shared" si="29"/>
        <v>-13.439727450407624</v>
      </c>
      <c r="W191">
        <f t="shared" si="30"/>
        <v>-13.439727450407624</v>
      </c>
      <c r="X191">
        <f t="shared" si="31"/>
        <v>-88.439727450407517</v>
      </c>
    </row>
    <row r="192" spans="1:24">
      <c r="A192">
        <f t="shared" si="24"/>
        <v>893.38599999999997</v>
      </c>
      <c r="B192">
        <v>2198</v>
      </c>
      <c r="C192" s="1">
        <v>28.5</v>
      </c>
      <c r="D192" s="1">
        <v>15</v>
      </c>
      <c r="E192" s="1">
        <v>27</v>
      </c>
      <c r="F192" s="1">
        <v>12</v>
      </c>
      <c r="G192" s="1"/>
      <c r="H192" s="1"/>
      <c r="I192">
        <v>86.225999999999999</v>
      </c>
      <c r="J192">
        <v>-44.4</v>
      </c>
      <c r="K192" s="1">
        <f t="shared" si="28"/>
        <v>-63</v>
      </c>
      <c r="L192" s="1">
        <f>1.5/22*180+180*0</f>
        <v>12.272727272727272</v>
      </c>
      <c r="N192" s="1"/>
      <c r="O192" s="1">
        <v>0.3</v>
      </c>
      <c r="P192">
        <f t="shared" si="25"/>
        <v>87.577954106054946</v>
      </c>
      <c r="Q192">
        <f t="shared" si="26"/>
        <v>87.108332189064484</v>
      </c>
      <c r="R192" t="e">
        <f t="shared" si="27"/>
        <v>#NUM!</v>
      </c>
      <c r="V192">
        <f t="shared" si="29"/>
        <v>-12.416131278502434</v>
      </c>
      <c r="W192">
        <f t="shared" si="30"/>
        <v>-15.416131278502583</v>
      </c>
      <c r="X192">
        <f t="shared" si="31"/>
        <v>-27.41613127850254</v>
      </c>
    </row>
    <row r="193" spans="1:24">
      <c r="A193">
        <f t="shared" si="24"/>
        <v>893.88599999999997</v>
      </c>
      <c r="B193">
        <v>2258</v>
      </c>
      <c r="C193" s="1">
        <v>29.5</v>
      </c>
      <c r="D193" s="1">
        <v>305</v>
      </c>
      <c r="E193" s="1">
        <v>27.5</v>
      </c>
      <c r="F193" s="1">
        <v>307</v>
      </c>
      <c r="G193" s="1"/>
      <c r="H193" s="1"/>
      <c r="I193">
        <v>86.52</v>
      </c>
      <c r="J193">
        <v>-49.1</v>
      </c>
      <c r="K193" s="1">
        <f t="shared" si="28"/>
        <v>-65</v>
      </c>
      <c r="L193" s="1">
        <f>15/21.5*180+180*1</f>
        <v>305.58139534883719</v>
      </c>
      <c r="N193" s="1"/>
      <c r="O193" s="1">
        <v>0.3</v>
      </c>
      <c r="P193">
        <f t="shared" si="25"/>
        <v>87.87749722544801</v>
      </c>
      <c r="Q193">
        <f t="shared" si="26"/>
        <v>87.267710782489999</v>
      </c>
      <c r="R193" t="e">
        <f t="shared" si="27"/>
        <v>#NUM!</v>
      </c>
      <c r="V193">
        <f t="shared" si="29"/>
        <v>-19.288273169635453</v>
      </c>
      <c r="W193">
        <f t="shared" si="30"/>
        <v>-17.28827316963546</v>
      </c>
      <c r="X193">
        <f t="shared" si="31"/>
        <v>35.711726830364512</v>
      </c>
    </row>
    <row r="194" spans="1:24">
      <c r="A194">
        <f t="shared" si="24"/>
        <v>894.38599999999997</v>
      </c>
      <c r="B194">
        <v>2320</v>
      </c>
      <c r="C194" s="1">
        <v>30.5</v>
      </c>
      <c r="D194" s="1">
        <v>235</v>
      </c>
      <c r="E194" s="1">
        <v>28</v>
      </c>
      <c r="F194" s="1">
        <v>241</v>
      </c>
      <c r="G194" s="1"/>
      <c r="H194" s="1"/>
      <c r="I194">
        <v>86.694999999999993</v>
      </c>
      <c r="J194">
        <v>-55.5</v>
      </c>
      <c r="K194" s="1">
        <f t="shared" si="28"/>
        <v>-66</v>
      </c>
      <c r="L194" s="1">
        <f>7/20.5*180+180*1</f>
        <v>241.46341463414635</v>
      </c>
      <c r="N194" s="1"/>
      <c r="O194" s="1">
        <v>0.3</v>
      </c>
      <c r="P194">
        <f t="shared" si="25"/>
        <v>88.16705369282046</v>
      </c>
      <c r="Q194">
        <f t="shared" si="26"/>
        <v>87.424217532729116</v>
      </c>
      <c r="R194" t="e">
        <f t="shared" si="27"/>
        <v>#NUM!</v>
      </c>
      <c r="V194">
        <f t="shared" si="29"/>
        <v>-24.056153123806396</v>
      </c>
      <c r="W194">
        <f t="shared" si="30"/>
        <v>-18.056153123806418</v>
      </c>
      <c r="X194">
        <f t="shared" si="31"/>
        <v>100.94384687619365</v>
      </c>
    </row>
    <row r="195" spans="1:24">
      <c r="A195">
        <f t="shared" si="24"/>
        <v>894.88599999999997</v>
      </c>
      <c r="B195">
        <v>2384</v>
      </c>
      <c r="C195" s="1">
        <v>31.5</v>
      </c>
      <c r="D195" s="1">
        <v>165</v>
      </c>
      <c r="E195" s="1">
        <v>28.5</v>
      </c>
      <c r="F195" s="1">
        <v>172</v>
      </c>
      <c r="G195" s="1"/>
      <c r="H195" s="1"/>
      <c r="I195">
        <v>86.741</v>
      </c>
      <c r="J195">
        <v>-61.76</v>
      </c>
      <c r="K195" s="1">
        <f t="shared" si="28"/>
        <v>-69</v>
      </c>
      <c r="L195" s="1">
        <f>19/20*180+180*0</f>
        <v>171</v>
      </c>
      <c r="N195" s="1"/>
      <c r="O195" s="1">
        <v>0.2573333333333333</v>
      </c>
      <c r="P195">
        <f t="shared" si="25"/>
        <v>88.489934648343407</v>
      </c>
      <c r="Q195">
        <f t="shared" si="26"/>
        <v>87.620620772721608</v>
      </c>
      <c r="R195" t="e">
        <f t="shared" si="27"/>
        <v>#NUM!</v>
      </c>
      <c r="V195">
        <f t="shared" si="29"/>
        <v>-26.719771141014945</v>
      </c>
      <c r="W195">
        <f t="shared" si="30"/>
        <v>-19.71977114101481</v>
      </c>
      <c r="X195">
        <f t="shared" si="31"/>
        <v>168.28022885898517</v>
      </c>
    </row>
    <row r="196" spans="1:24">
      <c r="A196">
        <f t="shared" si="24"/>
        <v>895.38599999999997</v>
      </c>
      <c r="B196">
        <v>2448</v>
      </c>
      <c r="C196" s="1">
        <v>33</v>
      </c>
      <c r="D196" s="1">
        <v>90</v>
      </c>
      <c r="E196" s="1">
        <v>29.5</v>
      </c>
      <c r="F196" s="1">
        <v>102</v>
      </c>
      <c r="G196" s="1"/>
      <c r="H196" s="1"/>
      <c r="I196">
        <v>86.772999999999996</v>
      </c>
      <c r="J196">
        <v>-67.36</v>
      </c>
      <c r="K196" s="1">
        <f t="shared" si="28"/>
        <v>-70</v>
      </c>
      <c r="L196" s="1">
        <f>11.2/19.5*180+180*0</f>
        <v>103.38461538461537</v>
      </c>
      <c r="N196" s="1"/>
      <c r="O196" s="1">
        <v>0.21466666666666667</v>
      </c>
      <c r="P196">
        <f t="shared" si="25"/>
        <v>88.936669036775825</v>
      </c>
      <c r="Q196">
        <f t="shared" si="26"/>
        <v>87.962830558781334</v>
      </c>
      <c r="R196" t="e">
        <f t="shared" si="27"/>
        <v>#NUM!</v>
      </c>
      <c r="V196">
        <f t="shared" si="29"/>
        <v>-34.383389158222997</v>
      </c>
      <c r="W196">
        <f t="shared" si="30"/>
        <v>-22.383389158223039</v>
      </c>
      <c r="X196">
        <f t="shared" si="31"/>
        <v>-124.383389158223</v>
      </c>
    </row>
    <row r="197" spans="1:24">
      <c r="A197">
        <f t="shared" si="24"/>
        <v>895.88599999999997</v>
      </c>
      <c r="B197">
        <v>2516</v>
      </c>
      <c r="C197" s="1">
        <v>33</v>
      </c>
      <c r="D197" s="1">
        <v>15</v>
      </c>
      <c r="E197" s="1">
        <v>30.5</v>
      </c>
      <c r="F197" s="1">
        <v>28</v>
      </c>
      <c r="G197" s="1"/>
      <c r="H197" s="1"/>
      <c r="I197">
        <v>86.497</v>
      </c>
      <c r="J197">
        <v>-72.790000000000006</v>
      </c>
      <c r="K197" s="1">
        <f t="shared" si="28"/>
        <v>-74</v>
      </c>
      <c r="L197" s="1">
        <f>3/19*180+180*0</f>
        <v>28.421052631578945</v>
      </c>
      <c r="N197" s="1"/>
      <c r="O197" s="1">
        <v>0.22875000000000001</v>
      </c>
      <c r="P197">
        <f t="shared" si="25"/>
        <v>88.922585703442493</v>
      </c>
      <c r="Q197">
        <f t="shared" si="26"/>
        <v>88.238303692820452</v>
      </c>
      <c r="R197" t="e">
        <f t="shared" si="27"/>
        <v>#NUM!</v>
      </c>
      <c r="V197">
        <f t="shared" si="29"/>
        <v>-37.838483301506898</v>
      </c>
      <c r="W197">
        <f t="shared" si="30"/>
        <v>-24.838483301507104</v>
      </c>
      <c r="X197">
        <f t="shared" si="31"/>
        <v>-52.838483301507004</v>
      </c>
    </row>
    <row r="198" spans="1:24">
      <c r="A198">
        <f t="shared" si="24"/>
        <v>896.38599999999997</v>
      </c>
      <c r="B198">
        <v>2584</v>
      </c>
      <c r="C198" s="1">
        <v>32.5</v>
      </c>
      <c r="D198" s="1">
        <v>295</v>
      </c>
      <c r="E198" s="1">
        <v>30.5</v>
      </c>
      <c r="F198" s="1">
        <v>307</v>
      </c>
      <c r="G198" s="1"/>
      <c r="H198" s="1"/>
      <c r="I198">
        <v>85.811000000000007</v>
      </c>
      <c r="J198">
        <v>-75.69</v>
      </c>
      <c r="K198" s="1">
        <f t="shared" si="28"/>
        <v>-81</v>
      </c>
      <c r="L198" s="1">
        <f>13/18.5*180+180*1</f>
        <v>306.48648648648651</v>
      </c>
      <c r="N198" s="1"/>
      <c r="O198" s="1">
        <v>0.27124999999999999</v>
      </c>
      <c r="P198">
        <f t="shared" si="25"/>
        <v>88.747474125462233</v>
      </c>
      <c r="Q198">
        <f t="shared" si="26"/>
        <v>88.195803692820462</v>
      </c>
      <c r="R198" t="e">
        <f t="shared" si="27"/>
        <v>#NUM!</v>
      </c>
      <c r="V198">
        <f t="shared" si="29"/>
        <v>-46.293577444790941</v>
      </c>
      <c r="W198">
        <f t="shared" si="30"/>
        <v>-34.293577444790984</v>
      </c>
      <c r="X198">
        <f t="shared" si="31"/>
        <v>18.706422555208988</v>
      </c>
    </row>
    <row r="199" spans="1:24">
      <c r="A199">
        <f t="shared" si="24"/>
        <v>896.88599999999997</v>
      </c>
      <c r="B199">
        <v>2656</v>
      </c>
      <c r="C199" s="1">
        <v>30</v>
      </c>
      <c r="D199" s="1">
        <v>215</v>
      </c>
      <c r="E199" s="1">
        <v>30.5</v>
      </c>
      <c r="F199" s="1">
        <v>225</v>
      </c>
      <c r="G199" s="1"/>
      <c r="H199" s="1"/>
      <c r="I199">
        <v>85.393000000000001</v>
      </c>
      <c r="J199">
        <v>-75.12</v>
      </c>
      <c r="K199" s="1">
        <f t="shared" si="28"/>
        <v>-82</v>
      </c>
      <c r="L199" s="1">
        <f>4.5/18*180+180*1</f>
        <v>225</v>
      </c>
      <c r="N199" s="1"/>
      <c r="O199" s="1">
        <v>0.23499999999999999</v>
      </c>
      <c r="P199">
        <f t="shared" si="25"/>
        <v>88.088482000277978</v>
      </c>
      <c r="Q199">
        <f t="shared" si="26"/>
        <v>88.232053692820458</v>
      </c>
      <c r="R199" t="e">
        <f t="shared" si="27"/>
        <v>#NUM!</v>
      </c>
      <c r="V199">
        <f t="shared" si="29"/>
        <v>-50.540147714150834</v>
      </c>
      <c r="W199">
        <f t="shared" si="30"/>
        <v>-40.54014771415055</v>
      </c>
      <c r="X199">
        <f t="shared" si="31"/>
        <v>94.45985228584945</v>
      </c>
    </row>
    <row r="200" spans="1:24">
      <c r="A200">
        <f t="shared" si="24"/>
        <v>897.38599999999997</v>
      </c>
      <c r="B200">
        <v>2728</v>
      </c>
      <c r="C200" s="1">
        <v>27</v>
      </c>
      <c r="D200" s="1">
        <v>140</v>
      </c>
      <c r="E200" s="1">
        <v>28</v>
      </c>
      <c r="F200" s="1">
        <v>144</v>
      </c>
      <c r="G200" s="1"/>
      <c r="H200" s="1"/>
      <c r="I200">
        <v>85.468999999999994</v>
      </c>
      <c r="J200">
        <v>-75.45</v>
      </c>
      <c r="K200" s="1">
        <f t="shared" si="28"/>
        <v>-81</v>
      </c>
      <c r="L200" s="1">
        <f>14/17.5*180+180*0</f>
        <v>144</v>
      </c>
      <c r="N200" s="1"/>
      <c r="O200" s="1">
        <v>5.4999999999999966E-2</v>
      </c>
      <c r="P200">
        <f t="shared" si="25"/>
        <v>87.353332189064474</v>
      </c>
      <c r="Q200">
        <f t="shared" si="26"/>
        <v>87.669217532729107</v>
      </c>
      <c r="R200" t="e">
        <f t="shared" si="27"/>
        <v>#NUM!</v>
      </c>
      <c r="V200">
        <f t="shared" si="29"/>
        <v>-49.786717983509945</v>
      </c>
      <c r="W200">
        <f t="shared" si="30"/>
        <v>-45.786717983509959</v>
      </c>
      <c r="X200">
        <f t="shared" si="31"/>
        <v>170.21328201648993</v>
      </c>
    </row>
    <row r="201" spans="1:24">
      <c r="A201">
        <f t="shared" si="24"/>
        <v>897.88599999999997</v>
      </c>
      <c r="B201">
        <v>2802</v>
      </c>
      <c r="C201" s="1">
        <v>26</v>
      </c>
      <c r="D201" s="1">
        <v>60</v>
      </c>
      <c r="E201" s="1">
        <v>25</v>
      </c>
      <c r="F201" s="1">
        <v>64</v>
      </c>
      <c r="G201" s="1"/>
      <c r="H201" s="1"/>
      <c r="I201">
        <v>85.28</v>
      </c>
      <c r="J201">
        <v>-76.56</v>
      </c>
      <c r="K201" s="1">
        <f t="shared" si="28"/>
        <v>-80</v>
      </c>
      <c r="L201" s="1">
        <f>6/17*180+180*0</f>
        <v>63.529411764705884</v>
      </c>
      <c r="N201" s="1"/>
      <c r="O201" s="1">
        <v>-0.1</v>
      </c>
      <c r="P201">
        <f t="shared" si="25"/>
        <v>87.180523865301097</v>
      </c>
      <c r="Q201">
        <f t="shared" si="26"/>
        <v>86.839857079325469</v>
      </c>
      <c r="R201" t="e">
        <f t="shared" si="27"/>
        <v>#NUM!</v>
      </c>
      <c r="V201">
        <f t="shared" si="29"/>
        <v>-51.929026315907763</v>
      </c>
      <c r="W201">
        <f t="shared" si="30"/>
        <v>-47.929026315907777</v>
      </c>
      <c r="X201">
        <f t="shared" si="31"/>
        <v>-111.92902631590755</v>
      </c>
    </row>
    <row r="202" spans="1:24">
      <c r="A202">
        <f t="shared" si="24"/>
        <v>898.38599999999997</v>
      </c>
      <c r="B202">
        <v>2880</v>
      </c>
      <c r="C202" s="1">
        <v>25</v>
      </c>
      <c r="D202" s="1">
        <v>340</v>
      </c>
      <c r="E202" s="1">
        <v>23.5</v>
      </c>
      <c r="F202" s="1">
        <v>344</v>
      </c>
      <c r="G202" s="1"/>
      <c r="H202" s="1"/>
      <c r="I202">
        <v>84.867999999999995</v>
      </c>
      <c r="J202">
        <v>-73.02</v>
      </c>
      <c r="K202" s="1">
        <f t="shared" si="28"/>
        <v>-80</v>
      </c>
      <c r="L202" s="1">
        <f>15/16.5*180+180*1</f>
        <v>343.63636363636363</v>
      </c>
      <c r="N202" s="1"/>
      <c r="O202" s="1">
        <v>-0.1</v>
      </c>
      <c r="P202">
        <f t="shared" si="25"/>
        <v>86.839857079325469</v>
      </c>
      <c r="Q202">
        <f t="shared" si="26"/>
        <v>86.302414151319454</v>
      </c>
      <c r="R202" t="e">
        <f t="shared" si="27"/>
        <v>#NUM!</v>
      </c>
      <c r="V202">
        <f t="shared" si="29"/>
        <v>-49.862810774380151</v>
      </c>
      <c r="W202">
        <f t="shared" si="30"/>
        <v>-45.862810774380165</v>
      </c>
      <c r="X202">
        <f t="shared" si="31"/>
        <v>-29.862810774380222</v>
      </c>
    </row>
    <row r="203" spans="1:24">
      <c r="A203">
        <f t="shared" si="24"/>
        <v>898.88599999999997</v>
      </c>
      <c r="B203">
        <v>2958</v>
      </c>
      <c r="C203" s="1">
        <v>24</v>
      </c>
      <c r="D203" s="1">
        <v>258</v>
      </c>
      <c r="E203" s="1">
        <v>23</v>
      </c>
      <c r="F203" s="1">
        <v>265</v>
      </c>
      <c r="G203" s="1"/>
      <c r="H203" s="1"/>
      <c r="I203">
        <v>84.879000000000005</v>
      </c>
      <c r="J203">
        <v>-67.45</v>
      </c>
      <c r="K203" s="1">
        <f t="shared" si="28"/>
        <v>-79</v>
      </c>
      <c r="L203" s="1">
        <f>7.8/16*180+180*1</f>
        <v>267.75</v>
      </c>
      <c r="N203" s="1"/>
      <c r="O203" s="1">
        <v>-0.1</v>
      </c>
      <c r="P203">
        <f t="shared" si="25"/>
        <v>86.485281740116847</v>
      </c>
      <c r="Q203">
        <f t="shared" si="26"/>
        <v>86.115613626236581</v>
      </c>
      <c r="R203" t="e">
        <f t="shared" si="27"/>
        <v>#NUM!</v>
      </c>
      <c r="V203">
        <f t="shared" si="29"/>
        <v>-49.796595232852852</v>
      </c>
      <c r="W203">
        <f t="shared" si="30"/>
        <v>-42.796595232853036</v>
      </c>
      <c r="X203">
        <f t="shared" si="31"/>
        <v>52.203404767147106</v>
      </c>
    </row>
    <row r="204" spans="1:24">
      <c r="A204">
        <f t="shared" si="24"/>
        <v>899.38599999999997</v>
      </c>
      <c r="B204">
        <v>3040</v>
      </c>
      <c r="C204" s="1">
        <v>23</v>
      </c>
      <c r="D204" s="1">
        <v>175</v>
      </c>
      <c r="E204" s="1">
        <v>22.5</v>
      </c>
      <c r="F204" s="1">
        <v>183</v>
      </c>
      <c r="G204" s="1"/>
      <c r="H204" s="1"/>
      <c r="I204">
        <v>84.968000000000004</v>
      </c>
      <c r="J204">
        <v>-64.319999999999993</v>
      </c>
      <c r="K204" s="1">
        <f t="shared" si="28"/>
        <v>-82</v>
      </c>
      <c r="L204" s="1">
        <f>0.3/16*180+180*1</f>
        <v>183.375</v>
      </c>
      <c r="N204" s="1"/>
      <c r="O204" s="1">
        <v>-6.3157894736842107E-2</v>
      </c>
      <c r="P204">
        <f t="shared" si="25"/>
        <v>86.078771520973433</v>
      </c>
      <c r="Q204">
        <f t="shared" si="26"/>
        <v>85.887865162848826</v>
      </c>
      <c r="R204" t="e">
        <f t="shared" si="27"/>
        <v>#NUM!</v>
      </c>
      <c r="V204">
        <f t="shared" si="29"/>
        <v>-46.521855817401558</v>
      </c>
      <c r="W204">
        <f t="shared" si="30"/>
        <v>-38.521855817401587</v>
      </c>
      <c r="X204">
        <f t="shared" si="31"/>
        <v>138.47814418259858</v>
      </c>
    </row>
    <row r="205" spans="1:24">
      <c r="A205">
        <f t="shared" si="24"/>
        <v>899.88599999999997</v>
      </c>
      <c r="B205">
        <v>3124</v>
      </c>
      <c r="C205" s="1">
        <v>23</v>
      </c>
      <c r="D205" s="1">
        <v>90</v>
      </c>
      <c r="E205" s="1">
        <v>22</v>
      </c>
      <c r="F205" s="1">
        <v>94</v>
      </c>
      <c r="G205" s="1"/>
      <c r="H205" s="1"/>
      <c r="I205">
        <v>84.887</v>
      </c>
      <c r="J205">
        <v>-61.63</v>
      </c>
      <c r="K205" s="1">
        <f t="shared" si="28"/>
        <v>-89</v>
      </c>
      <c r="L205" s="1">
        <f>8/15.3*180+180*0</f>
        <v>94.117647058823536</v>
      </c>
      <c r="N205" s="1"/>
      <c r="O205" s="1">
        <v>-1.8947368421052629E-2</v>
      </c>
      <c r="P205">
        <f t="shared" si="25"/>
        <v>86.034560994657639</v>
      </c>
      <c r="Q205">
        <f t="shared" si="26"/>
        <v>85.648457890749924</v>
      </c>
      <c r="R205" t="e">
        <f t="shared" si="27"/>
        <v>#NUM!</v>
      </c>
      <c r="V205">
        <f t="shared" si="29"/>
        <v>-43.142854464987224</v>
      </c>
      <c r="W205">
        <f t="shared" si="30"/>
        <v>-39.142854464987238</v>
      </c>
      <c r="X205">
        <f t="shared" si="31"/>
        <v>-133.14285446498724</v>
      </c>
    </row>
    <row r="206" spans="1:24">
      <c r="A206">
        <f t="shared" si="24"/>
        <v>900.38599999999997</v>
      </c>
      <c r="B206">
        <v>3208</v>
      </c>
      <c r="C206" s="1">
        <v>23</v>
      </c>
      <c r="D206" s="1">
        <v>3</v>
      </c>
      <c r="E206" s="1">
        <v>22</v>
      </c>
      <c r="F206" s="1">
        <v>5</v>
      </c>
      <c r="G206" s="1"/>
      <c r="H206" s="1"/>
      <c r="I206">
        <v>84.885999999999996</v>
      </c>
      <c r="J206">
        <v>-60.29</v>
      </c>
      <c r="K206" s="1">
        <f t="shared" si="28"/>
        <v>-89</v>
      </c>
      <c r="L206" s="1">
        <f>0.4/15*180+180*0</f>
        <v>4.8000000000000007</v>
      </c>
      <c r="N206" s="1"/>
      <c r="O206" s="1">
        <v>4.8000000000000001E-2</v>
      </c>
      <c r="P206">
        <f t="shared" si="25"/>
        <v>85.967613626236584</v>
      </c>
      <c r="Q206">
        <f t="shared" si="26"/>
        <v>85.58151052232887</v>
      </c>
      <c r="R206" t="e">
        <f t="shared" si="27"/>
        <v>#NUM!</v>
      </c>
      <c r="V206">
        <f t="shared" si="29"/>
        <v>-41.763853112573841</v>
      </c>
      <c r="W206">
        <f t="shared" si="30"/>
        <v>-39.763853112573528</v>
      </c>
      <c r="X206">
        <f t="shared" si="31"/>
        <v>-44.763853112573671</v>
      </c>
    </row>
    <row r="207" spans="1:24">
      <c r="A207">
        <f t="shared" si="24"/>
        <v>900.88599999999997</v>
      </c>
      <c r="B207">
        <v>3296</v>
      </c>
      <c r="C207" s="1">
        <v>24</v>
      </c>
      <c r="D207" s="1">
        <v>273</v>
      </c>
      <c r="E207" s="1">
        <v>22</v>
      </c>
      <c r="F207" s="1">
        <v>275</v>
      </c>
      <c r="G207" s="1"/>
      <c r="H207" s="1"/>
      <c r="I207">
        <v>84.611999999999995</v>
      </c>
      <c r="J207">
        <v>-59.75</v>
      </c>
      <c r="K207" s="1">
        <f t="shared" si="28"/>
        <v>-90</v>
      </c>
      <c r="L207" s="1">
        <f>7.7/14.5*180+180*1</f>
        <v>275.58620689655174</v>
      </c>
      <c r="N207" s="1"/>
      <c r="O207" s="1">
        <v>0.13600000000000001</v>
      </c>
      <c r="P207">
        <f t="shared" si="25"/>
        <v>86.249281740116857</v>
      </c>
      <c r="Q207">
        <f t="shared" si="26"/>
        <v>85.493510522328876</v>
      </c>
      <c r="R207" t="e">
        <f t="shared" si="27"/>
        <v>#NUM!</v>
      </c>
      <c r="V207">
        <f t="shared" si="29"/>
        <v>-39.176327886235498</v>
      </c>
      <c r="W207">
        <f t="shared" si="30"/>
        <v>-37.176327886235185</v>
      </c>
      <c r="X207">
        <f t="shared" si="31"/>
        <v>47.823672113764673</v>
      </c>
    </row>
    <row r="208" spans="1:24">
      <c r="A208">
        <f t="shared" si="24"/>
        <v>901.38599999999997</v>
      </c>
      <c r="B208">
        <v>3386</v>
      </c>
      <c r="C208" s="1">
        <v>28</v>
      </c>
      <c r="D208" s="1">
        <v>180</v>
      </c>
      <c r="E208" s="1">
        <v>24</v>
      </c>
      <c r="F208" s="1">
        <v>183</v>
      </c>
      <c r="G208" s="1"/>
      <c r="H208" s="1"/>
      <c r="I208">
        <v>84.581000000000003</v>
      </c>
      <c r="J208">
        <v>-60.15</v>
      </c>
      <c r="K208" s="1">
        <f t="shared" si="28"/>
        <v>-92</v>
      </c>
      <c r="L208" s="1">
        <f>0.2/14*180+180*1</f>
        <v>182.57142857142858</v>
      </c>
      <c r="N208" s="1"/>
      <c r="O208" s="1">
        <v>0.22476190476190477</v>
      </c>
      <c r="P208">
        <f t="shared" si="25"/>
        <v>87.499455627967208</v>
      </c>
      <c r="Q208">
        <f t="shared" si="26"/>
        <v>86.160519835354947</v>
      </c>
      <c r="R208" t="e">
        <f t="shared" si="27"/>
        <v>#NUM!</v>
      </c>
      <c r="V208">
        <f t="shared" si="29"/>
        <v>-37.48454072293427</v>
      </c>
      <c r="W208">
        <f t="shared" si="30"/>
        <v>-34.48454072293444</v>
      </c>
      <c r="X208">
        <f t="shared" si="31"/>
        <v>142.51545927706573</v>
      </c>
    </row>
    <row r="209" spans="1:24">
      <c r="A209">
        <f t="shared" si="24"/>
        <v>901.88599999999997</v>
      </c>
      <c r="B209">
        <v>3480</v>
      </c>
      <c r="C209" s="1">
        <v>29</v>
      </c>
      <c r="D209" s="1">
        <v>80</v>
      </c>
      <c r="E209" s="1">
        <v>26</v>
      </c>
      <c r="F209" s="1">
        <v>86</v>
      </c>
      <c r="G209" s="1"/>
      <c r="H209" s="1"/>
      <c r="I209">
        <v>84.736000000000004</v>
      </c>
      <c r="J209">
        <v>-64.650000000000006</v>
      </c>
      <c r="K209" s="1">
        <f t="shared" si="28"/>
        <v>-97</v>
      </c>
      <c r="L209" s="1">
        <f>6.7/14*180+180*0</f>
        <v>86.142857142857153</v>
      </c>
      <c r="N209" s="1"/>
      <c r="O209" s="1">
        <v>0.31428571428571428</v>
      </c>
      <c r="P209">
        <f t="shared" si="25"/>
        <v>87.714731149578142</v>
      </c>
      <c r="Q209">
        <f t="shared" si="26"/>
        <v>86.766238151015386</v>
      </c>
      <c r="R209" t="e">
        <f t="shared" si="27"/>
        <v>#NUM!</v>
      </c>
      <c r="V209">
        <f t="shared" si="29"/>
        <v>-38.584229685709346</v>
      </c>
      <c r="W209">
        <f t="shared" si="30"/>
        <v>-32.584229685709047</v>
      </c>
      <c r="X209">
        <f t="shared" si="31"/>
        <v>-118.58422968570906</v>
      </c>
    </row>
    <row r="210" spans="1:24">
      <c r="A210">
        <f t="shared" si="24"/>
        <v>902.38599999999997</v>
      </c>
      <c r="B210">
        <v>3574</v>
      </c>
      <c r="C210" s="1">
        <v>29</v>
      </c>
      <c r="D210" s="1">
        <v>330</v>
      </c>
      <c r="E210" s="1">
        <v>26</v>
      </c>
      <c r="F210" s="1">
        <v>343</v>
      </c>
      <c r="G210" s="1"/>
      <c r="H210" s="1"/>
      <c r="I210">
        <v>85.054000000000002</v>
      </c>
      <c r="J210">
        <v>-69.510000000000005</v>
      </c>
      <c r="K210" s="1">
        <f t="shared" si="28"/>
        <v>-103</v>
      </c>
      <c r="L210" s="1">
        <f>12/13.25*180+180*1</f>
        <v>343.01886792452831</v>
      </c>
      <c r="N210" s="1"/>
      <c r="O210" s="1">
        <v>0.40521739130434786</v>
      </c>
      <c r="P210">
        <f t="shared" si="25"/>
        <v>87.623799472559512</v>
      </c>
      <c r="Q210">
        <f t="shared" si="26"/>
        <v>86.675306473996756</v>
      </c>
      <c r="R210" t="e">
        <f t="shared" si="27"/>
        <v>#NUM!</v>
      </c>
      <c r="V210">
        <f t="shared" si="29"/>
        <v>-49.683918648484706</v>
      </c>
      <c r="W210">
        <f t="shared" si="30"/>
        <v>-36.683918648484592</v>
      </c>
      <c r="X210">
        <f t="shared" si="31"/>
        <v>-19.683918648484493</v>
      </c>
    </row>
    <row r="211" spans="1:24">
      <c r="A211">
        <f t="shared" si="24"/>
        <v>902.88599999999997</v>
      </c>
      <c r="B211">
        <v>3672</v>
      </c>
      <c r="C211" s="1">
        <v>27.5</v>
      </c>
      <c r="D211" s="1">
        <v>220</v>
      </c>
      <c r="E211" s="1">
        <v>25</v>
      </c>
      <c r="F211" s="1">
        <v>236</v>
      </c>
      <c r="G211" s="1"/>
      <c r="H211" s="1"/>
      <c r="I211">
        <v>85.683000000000007</v>
      </c>
      <c r="J211">
        <v>-76.69</v>
      </c>
      <c r="K211" s="1">
        <f t="shared" si="28"/>
        <v>-107</v>
      </c>
      <c r="L211" s="1">
        <f>4/13*180+180*1</f>
        <v>235.38461538461539</v>
      </c>
      <c r="N211" s="1"/>
      <c r="O211" s="1">
        <v>0.53304347826086951</v>
      </c>
      <c r="P211">
        <f t="shared" si="25"/>
        <v>87.034667304229131</v>
      </c>
      <c r="Q211">
        <f t="shared" si="26"/>
        <v>86.20681360106461</v>
      </c>
      <c r="R211" t="e">
        <f t="shared" si="27"/>
        <v>#NUM!</v>
      </c>
      <c r="V211">
        <f t="shared" si="29"/>
        <v>-56.575083737334637</v>
      </c>
      <c r="W211">
        <f t="shared" si="30"/>
        <v>-40.575083737334694</v>
      </c>
      <c r="X211">
        <f t="shared" si="31"/>
        <v>83.424916262665505</v>
      </c>
    </row>
    <row r="212" spans="1:24">
      <c r="A212">
        <f t="shared" ref="A212:A274" si="32">+A211+0.5</f>
        <v>903.38599999999997</v>
      </c>
      <c r="B212">
        <v>3772</v>
      </c>
      <c r="C212" s="1">
        <v>27.5</v>
      </c>
      <c r="D212" s="1">
        <v>115</v>
      </c>
      <c r="E212" s="1">
        <v>27</v>
      </c>
      <c r="F212" s="1">
        <v>127</v>
      </c>
      <c r="G212" s="1"/>
      <c r="H212" s="1"/>
      <c r="I212">
        <v>85.528999999999996</v>
      </c>
      <c r="J212">
        <v>-83.18</v>
      </c>
      <c r="K212" s="1">
        <f t="shared" si="28"/>
        <v>-109</v>
      </c>
      <c r="L212" s="1">
        <f>9/12.75*180+180*0</f>
        <v>127.05882352941177</v>
      </c>
      <c r="N212" s="1"/>
      <c r="O212" s="1">
        <v>0.66347826086956518</v>
      </c>
      <c r="P212">
        <f t="shared" si="25"/>
        <v>86.904232521620429</v>
      </c>
      <c r="Q212">
        <f t="shared" si="26"/>
        <v>86.744853928194914</v>
      </c>
      <c r="R212" t="e">
        <f t="shared" si="27"/>
        <v>#NUM!</v>
      </c>
      <c r="V212">
        <f t="shared" si="29"/>
        <v>-56.36198688922299</v>
      </c>
      <c r="W212">
        <f t="shared" si="30"/>
        <v>-44.361986889223033</v>
      </c>
      <c r="X212">
        <f t="shared" si="31"/>
        <v>-171.36198688922306</v>
      </c>
    </row>
    <row r="213" spans="1:24">
      <c r="A213">
        <f t="shared" si="32"/>
        <v>903.88599999999997</v>
      </c>
      <c r="B213">
        <v>3876</v>
      </c>
      <c r="C213" s="1">
        <v>27.5</v>
      </c>
      <c r="D213" s="1">
        <v>5</v>
      </c>
      <c r="E213" s="1">
        <v>27.5</v>
      </c>
      <c r="F213" s="1">
        <v>14</v>
      </c>
      <c r="G213" s="1"/>
      <c r="H213" s="1"/>
      <c r="I213">
        <v>85.289000000000001</v>
      </c>
      <c r="J213">
        <v>-85.39</v>
      </c>
      <c r="K213" s="1">
        <f t="shared" si="28"/>
        <v>-113</v>
      </c>
      <c r="L213" s="1">
        <f>1/12.25*180+180*0</f>
        <v>14.693877551020407</v>
      </c>
      <c r="N213" s="1"/>
      <c r="O213" s="1">
        <v>0.7</v>
      </c>
      <c r="P213">
        <f t="shared" si="25"/>
        <v>86.867710782489993</v>
      </c>
      <c r="Q213">
        <f t="shared" si="26"/>
        <v>86.867710782489993</v>
      </c>
      <c r="R213" t="e">
        <f t="shared" si="27"/>
        <v>#NUM!</v>
      </c>
      <c r="V213">
        <f t="shared" si="29"/>
        <v>-56.940366167186696</v>
      </c>
      <c r="W213">
        <f t="shared" si="30"/>
        <v>-47.940366167186568</v>
      </c>
      <c r="X213">
        <f t="shared" si="31"/>
        <v>-61.940366167186838</v>
      </c>
    </row>
    <row r="214" spans="1:24">
      <c r="A214">
        <f t="shared" si="32"/>
        <v>904.38599999999997</v>
      </c>
      <c r="B214">
        <v>3982</v>
      </c>
      <c r="C214" s="1">
        <v>27</v>
      </c>
      <c r="D214" s="1">
        <v>255</v>
      </c>
      <c r="E214" s="1">
        <v>27</v>
      </c>
      <c r="F214" s="1">
        <v>257</v>
      </c>
      <c r="G214" s="1"/>
      <c r="H214" s="1"/>
      <c r="I214">
        <v>85.143000000000001</v>
      </c>
      <c r="J214">
        <v>-88.89</v>
      </c>
      <c r="K214" s="1">
        <f t="shared" si="28"/>
        <v>-117</v>
      </c>
      <c r="L214" s="1">
        <f>5.1/12*180+180*1</f>
        <v>256.5</v>
      </c>
      <c r="N214" s="1"/>
      <c r="O214" s="1">
        <v>0.7</v>
      </c>
      <c r="P214">
        <f t="shared" si="25"/>
        <v>86.708332189064478</v>
      </c>
      <c r="Q214">
        <f t="shared" si="26"/>
        <v>86.708332189064478</v>
      </c>
      <c r="R214" t="e">
        <f t="shared" si="27"/>
        <v>#NUM!</v>
      </c>
      <c r="V214">
        <f t="shared" si="29"/>
        <v>-55.414483508187686</v>
      </c>
      <c r="W214">
        <f t="shared" si="30"/>
        <v>-53.414483508188013</v>
      </c>
      <c r="X214">
        <f t="shared" si="31"/>
        <v>49.585516491812101</v>
      </c>
    </row>
    <row r="215" spans="1:24">
      <c r="A215">
        <f t="shared" si="32"/>
        <v>904.88599999999997</v>
      </c>
      <c r="B215">
        <v>4092</v>
      </c>
      <c r="C215" s="1">
        <v>27</v>
      </c>
      <c r="D215" s="1">
        <v>135</v>
      </c>
      <c r="E215" s="1">
        <v>24.5</v>
      </c>
      <c r="F215" s="1">
        <v>139</v>
      </c>
      <c r="G215" s="1"/>
      <c r="H215" s="1"/>
      <c r="I215">
        <v>85.012</v>
      </c>
      <c r="J215">
        <v>-92.45</v>
      </c>
      <c r="K215" s="1">
        <f t="shared" si="28"/>
        <v>-118</v>
      </c>
      <c r="L215" s="1">
        <f>9/11.75*180+180*0</f>
        <v>137.87234042553192</v>
      </c>
      <c r="N215" s="1"/>
      <c r="O215" s="1">
        <v>0.7208</v>
      </c>
      <c r="P215">
        <f t="shared" si="25"/>
        <v>86.687532189064484</v>
      </c>
      <c r="Q215">
        <f t="shared" si="26"/>
        <v>85.84357859317538</v>
      </c>
      <c r="R215" t="e">
        <f t="shared" si="27"/>
        <v>#NUM!</v>
      </c>
      <c r="V215">
        <f t="shared" si="29"/>
        <v>-59.68007697526545</v>
      </c>
      <c r="W215">
        <f t="shared" si="30"/>
        <v>-55.680076975265465</v>
      </c>
      <c r="X215">
        <f t="shared" si="31"/>
        <v>165.31992302473455</v>
      </c>
    </row>
    <row r="216" spans="1:24">
      <c r="A216">
        <f t="shared" si="32"/>
        <v>905.38599999999997</v>
      </c>
      <c r="B216">
        <v>4202</v>
      </c>
      <c r="C216" s="1">
        <v>27.5</v>
      </c>
      <c r="D216" s="1">
        <v>15</v>
      </c>
      <c r="E216" s="1">
        <v>23</v>
      </c>
      <c r="F216" s="1">
        <v>19</v>
      </c>
      <c r="G216" s="1"/>
      <c r="H216" s="1"/>
      <c r="I216">
        <v>84.947999999999993</v>
      </c>
      <c r="J216">
        <v>-97.43</v>
      </c>
      <c r="K216" s="1">
        <f t="shared" si="28"/>
        <v>-120</v>
      </c>
      <c r="L216" s="1">
        <f>1.2/11.25*180+180*0</f>
        <v>19.2</v>
      </c>
      <c r="N216" s="1"/>
      <c r="O216" s="1">
        <v>0.76480000000000004</v>
      </c>
      <c r="P216">
        <f t="shared" si="25"/>
        <v>86.802910782490002</v>
      </c>
      <c r="Q216">
        <f t="shared" si="26"/>
        <v>85.250813626236592</v>
      </c>
      <c r="R216" t="e">
        <f t="shared" si="27"/>
        <v>#NUM!</v>
      </c>
      <c r="V216">
        <f t="shared" si="29"/>
        <v>-63.945670442342575</v>
      </c>
      <c r="W216">
        <f t="shared" si="30"/>
        <v>-59.945670442342589</v>
      </c>
      <c r="X216">
        <f t="shared" si="31"/>
        <v>-78.945670442342362</v>
      </c>
    </row>
    <row r="217" spans="1:24">
      <c r="A217">
        <f t="shared" si="32"/>
        <v>905.88599999999997</v>
      </c>
      <c r="B217">
        <v>4318</v>
      </c>
      <c r="C217" s="1">
        <v>28.5</v>
      </c>
      <c r="D217" s="1">
        <v>250</v>
      </c>
      <c r="E217" s="1">
        <v>23</v>
      </c>
      <c r="F217" s="1">
        <v>257</v>
      </c>
      <c r="G217" s="1"/>
      <c r="H217" s="1"/>
      <c r="I217">
        <v>84.954999999999998</v>
      </c>
      <c r="J217">
        <v>-102.9</v>
      </c>
      <c r="K217" s="1">
        <f t="shared" si="28"/>
        <v>-122</v>
      </c>
      <c r="L217" s="1">
        <f>4.7/11*180+180*1</f>
        <v>256.90909090909093</v>
      </c>
      <c r="N217" s="1"/>
      <c r="O217" s="1">
        <v>0.81</v>
      </c>
      <c r="P217">
        <f t="shared" si="25"/>
        <v>87.067954106054941</v>
      </c>
      <c r="Q217">
        <f t="shared" si="26"/>
        <v>85.205613626236584</v>
      </c>
      <c r="R217" t="e">
        <f t="shared" si="27"/>
        <v>#NUM!</v>
      </c>
      <c r="V217">
        <f t="shared" si="29"/>
        <v>-66.898478098532337</v>
      </c>
      <c r="W217">
        <f t="shared" si="30"/>
        <v>-59.898478098532522</v>
      </c>
      <c r="X217">
        <f t="shared" si="31"/>
        <v>43.101521901467592</v>
      </c>
    </row>
    <row r="218" spans="1:24">
      <c r="A218">
        <f t="shared" si="32"/>
        <v>906.38599999999997</v>
      </c>
      <c r="B218">
        <v>4436</v>
      </c>
      <c r="C218" s="1">
        <v>28</v>
      </c>
      <c r="D218" s="1">
        <v>125</v>
      </c>
      <c r="E218" s="1">
        <v>23</v>
      </c>
      <c r="F218" s="1">
        <v>134</v>
      </c>
      <c r="G218" s="1"/>
      <c r="H218" s="1"/>
      <c r="I218">
        <v>84.849000000000004</v>
      </c>
      <c r="J218">
        <v>-109.8</v>
      </c>
      <c r="K218" s="1">
        <f t="shared" si="28"/>
        <v>-123</v>
      </c>
      <c r="L218" s="1">
        <f>8/10.75*180+180*0</f>
        <v>133.95348837209303</v>
      </c>
      <c r="N218" s="1"/>
      <c r="O218" s="1">
        <v>0.8521428571428572</v>
      </c>
      <c r="P218">
        <f t="shared" si="25"/>
        <v>86.872074675586262</v>
      </c>
      <c r="Q218">
        <f t="shared" si="26"/>
        <v>85.163470769093735</v>
      </c>
      <c r="R218" t="e">
        <f t="shared" si="27"/>
        <v>#NUM!</v>
      </c>
      <c r="V218">
        <f t="shared" si="29"/>
        <v>-67.747023817760663</v>
      </c>
      <c r="W218">
        <f t="shared" si="30"/>
        <v>-58.747023817760535</v>
      </c>
      <c r="X218">
        <f t="shared" si="31"/>
        <v>167.25297618223962</v>
      </c>
    </row>
    <row r="219" spans="1:24">
      <c r="A219">
        <f t="shared" si="32"/>
        <v>906.88599999999997</v>
      </c>
      <c r="B219">
        <v>4558</v>
      </c>
      <c r="C219" s="1">
        <v>26.5</v>
      </c>
      <c r="D219" s="1">
        <v>352</v>
      </c>
      <c r="E219" s="1">
        <v>23</v>
      </c>
      <c r="F219" s="1">
        <v>8</v>
      </c>
      <c r="G219" s="1"/>
      <c r="H219" s="1"/>
      <c r="I219">
        <v>84.772000000000006</v>
      </c>
      <c r="J219">
        <v>-115.9</v>
      </c>
      <c r="K219" s="1">
        <f t="shared" si="28"/>
        <v>-126</v>
      </c>
      <c r="L219" s="1">
        <f>0.5/10.5*180+180*0</f>
        <v>8.5714285714285712</v>
      </c>
      <c r="N219" s="1"/>
      <c r="O219" s="1">
        <v>0.89571428571428569</v>
      </c>
      <c r="P219">
        <f t="shared" si="25"/>
        <v>86.350260098906602</v>
      </c>
      <c r="Q219">
        <f t="shared" si="26"/>
        <v>85.119899340522295</v>
      </c>
      <c r="R219" t="e">
        <f t="shared" si="27"/>
        <v>#NUM!</v>
      </c>
      <c r="V219">
        <f t="shared" si="29"/>
        <v>-72.387045663064171</v>
      </c>
      <c r="W219">
        <f t="shared" si="30"/>
        <v>-56.387045663064228</v>
      </c>
      <c r="X219">
        <f t="shared" si="31"/>
        <v>-64.3870456630642</v>
      </c>
    </row>
    <row r="220" spans="1:24">
      <c r="A220">
        <f t="shared" si="32"/>
        <v>907.38599999999997</v>
      </c>
      <c r="B220">
        <v>4682</v>
      </c>
      <c r="C220" s="1">
        <v>25.5</v>
      </c>
      <c r="D220" s="1">
        <v>220</v>
      </c>
      <c r="E220" s="1">
        <v>23</v>
      </c>
      <c r="F220" s="1">
        <v>234</v>
      </c>
      <c r="G220" s="1"/>
      <c r="H220" s="1"/>
      <c r="I220">
        <v>84.724999999999994</v>
      </c>
      <c r="J220">
        <v>-123.1</v>
      </c>
      <c r="K220" s="1">
        <f t="shared" si="28"/>
        <v>-134</v>
      </c>
      <c r="L220" s="1">
        <f>3/10*180+180*1</f>
        <v>234</v>
      </c>
      <c r="N220" s="1"/>
      <c r="O220" s="1">
        <v>1.0158620689655173</v>
      </c>
      <c r="P220">
        <f t="shared" si="25"/>
        <v>85.895998445598323</v>
      </c>
      <c r="Q220">
        <f t="shared" si="26"/>
        <v>84.999751557271068</v>
      </c>
      <c r="R220" t="e">
        <f t="shared" si="27"/>
        <v>#NUM!</v>
      </c>
      <c r="V220">
        <f t="shared" si="29"/>
        <v>-73.922805571405448</v>
      </c>
      <c r="W220">
        <f t="shared" si="30"/>
        <v>-59.922805571405178</v>
      </c>
      <c r="X220">
        <f t="shared" si="31"/>
        <v>66.077194428594694</v>
      </c>
    </row>
    <row r="221" spans="1:24">
      <c r="A221">
        <f t="shared" si="32"/>
        <v>907.88599999999997</v>
      </c>
      <c r="B221">
        <v>4810</v>
      </c>
      <c r="C221" s="1">
        <v>25</v>
      </c>
      <c r="D221" s="1">
        <v>85</v>
      </c>
      <c r="E221" s="1">
        <v>24</v>
      </c>
      <c r="F221" s="1">
        <v>97</v>
      </c>
      <c r="G221" s="1"/>
      <c r="H221" s="1"/>
      <c r="I221">
        <v>84.756</v>
      </c>
      <c r="J221">
        <v>-128.4</v>
      </c>
      <c r="K221" s="1">
        <f t="shared" si="28"/>
        <v>-137</v>
      </c>
      <c r="L221" s="1">
        <f>5.4/10*180+180*0</f>
        <v>97.2</v>
      </c>
      <c r="N221" s="1"/>
      <c r="O221" s="1">
        <v>1.1482758620689655</v>
      </c>
      <c r="P221">
        <f t="shared" si="25"/>
        <v>85.591581217256504</v>
      </c>
      <c r="Q221">
        <f t="shared" si="26"/>
        <v>85.237005878047881</v>
      </c>
      <c r="R221" t="e">
        <f t="shared" si="27"/>
        <v>#NUM!</v>
      </c>
      <c r="V221">
        <f t="shared" si="29"/>
        <v>-74.250041605822403</v>
      </c>
      <c r="W221">
        <f t="shared" si="30"/>
        <v>-62.250041605822446</v>
      </c>
      <c r="X221">
        <f t="shared" si="31"/>
        <v>-159.25004160582228</v>
      </c>
    </row>
    <row r="222" spans="1:24">
      <c r="A222">
        <f t="shared" si="32"/>
        <v>908.38599999999997</v>
      </c>
      <c r="B222">
        <v>4942</v>
      </c>
      <c r="C222" s="1">
        <v>23</v>
      </c>
      <c r="D222" s="1">
        <v>305</v>
      </c>
      <c r="E222" s="1">
        <v>22.5</v>
      </c>
      <c r="F222" s="1">
        <v>317</v>
      </c>
      <c r="G222" s="1"/>
      <c r="H222" s="1"/>
      <c r="I222">
        <v>84.932000000000002</v>
      </c>
      <c r="J222">
        <v>-133.80000000000001</v>
      </c>
      <c r="K222" s="1">
        <f t="shared" si="28"/>
        <v>-140</v>
      </c>
      <c r="L222" s="1">
        <f>7.2/9.5*180+180*1</f>
        <v>316.42105263157896</v>
      </c>
      <c r="N222" s="1"/>
      <c r="O222" s="1">
        <v>1.2546666666666666</v>
      </c>
      <c r="P222">
        <f t="shared" si="25"/>
        <v>84.760946959569921</v>
      </c>
      <c r="Q222">
        <f t="shared" si="26"/>
        <v>84.570040601445314</v>
      </c>
      <c r="R222" t="e">
        <f t="shared" si="27"/>
        <v>#NUM!</v>
      </c>
      <c r="V222">
        <f t="shared" si="29"/>
        <v>-75.368753766315351</v>
      </c>
      <c r="W222">
        <f t="shared" si="30"/>
        <v>-63.368753766315393</v>
      </c>
      <c r="X222">
        <f t="shared" si="31"/>
        <v>-20.368753766315066</v>
      </c>
    </row>
    <row r="223" spans="1:24">
      <c r="A223">
        <f t="shared" si="32"/>
        <v>908.88599999999997</v>
      </c>
      <c r="B223">
        <v>5078</v>
      </c>
      <c r="C223" s="1">
        <v>23</v>
      </c>
      <c r="D223" s="1">
        <v>165</v>
      </c>
      <c r="E223" s="1">
        <v>20.5</v>
      </c>
      <c r="F223" s="1">
        <v>174</v>
      </c>
      <c r="G223" s="1"/>
      <c r="H223" s="1"/>
      <c r="I223">
        <v>85.045000000000002</v>
      </c>
      <c r="J223">
        <v>-137.80000000000001</v>
      </c>
      <c r="K223" s="1">
        <f t="shared" si="28"/>
        <v>-143</v>
      </c>
      <c r="L223" s="1">
        <f>9.2/9.5*180+180*0</f>
        <v>174.31578947368419</v>
      </c>
      <c r="N223" s="1"/>
      <c r="O223" s="1">
        <v>1.3453333333333333</v>
      </c>
      <c r="P223">
        <f t="shared" si="25"/>
        <v>84.670280292903257</v>
      </c>
      <c r="Q223">
        <f t="shared" si="26"/>
        <v>83.670800793666487</v>
      </c>
      <c r="R223" t="e">
        <f t="shared" si="27"/>
        <v>#NUM!</v>
      </c>
      <c r="V223">
        <f t="shared" si="29"/>
        <v>-72.278942052882869</v>
      </c>
      <c r="W223">
        <f t="shared" si="30"/>
        <v>-63.27894205288338</v>
      </c>
      <c r="X223">
        <f t="shared" si="31"/>
        <v>122.72105794711692</v>
      </c>
    </row>
    <row r="224" spans="1:24">
      <c r="A224">
        <f t="shared" si="32"/>
        <v>909.38599999999997</v>
      </c>
      <c r="B224">
        <v>5216</v>
      </c>
      <c r="C224" s="1">
        <v>25</v>
      </c>
      <c r="D224" s="1">
        <v>20</v>
      </c>
      <c r="E224" s="1">
        <v>20.5</v>
      </c>
      <c r="F224" s="1">
        <v>25</v>
      </c>
      <c r="G224" s="1"/>
      <c r="H224" s="1"/>
      <c r="I224">
        <v>85.116</v>
      </c>
      <c r="J224">
        <v>-140.1</v>
      </c>
      <c r="K224" s="1">
        <f t="shared" si="28"/>
        <v>-149</v>
      </c>
      <c r="L224" s="1">
        <f>1/9.25*180+180*0</f>
        <v>19.45945945945946</v>
      </c>
      <c r="N224" s="1"/>
      <c r="O224" s="1">
        <v>1.416969696969697</v>
      </c>
      <c r="P224">
        <f t="shared" si="25"/>
        <v>85.322887382355773</v>
      </c>
      <c r="Q224">
        <f t="shared" si="26"/>
        <v>83.599164430030115</v>
      </c>
      <c r="R224" t="e">
        <f t="shared" si="27"/>
        <v>#NUM!</v>
      </c>
      <c r="V224">
        <f t="shared" si="29"/>
        <v>-72.084868402488453</v>
      </c>
      <c r="W224">
        <f t="shared" si="30"/>
        <v>-67.084868402488311</v>
      </c>
      <c r="X224">
        <f t="shared" si="31"/>
        <v>-92.084868402488382</v>
      </c>
    </row>
    <row r="225" spans="1:24">
      <c r="A225">
        <f t="shared" si="32"/>
        <v>909.88599999999997</v>
      </c>
      <c r="B225">
        <v>5360</v>
      </c>
      <c r="C225" s="1">
        <v>25</v>
      </c>
      <c r="D225" s="1">
        <v>225</v>
      </c>
      <c r="E225" s="1">
        <v>22</v>
      </c>
      <c r="F225" s="1">
        <v>236</v>
      </c>
      <c r="G225" s="1"/>
      <c r="H225" s="1"/>
      <c r="I225">
        <v>85.191999999999993</v>
      </c>
      <c r="J225">
        <v>-141.4</v>
      </c>
      <c r="K225" s="1">
        <f t="shared" si="28"/>
        <v>-149</v>
      </c>
      <c r="L225" s="1">
        <f>2.8/9*180+180*1</f>
        <v>236</v>
      </c>
      <c r="N225" s="1"/>
      <c r="O225" s="1">
        <v>1.4606060606060605</v>
      </c>
      <c r="P225">
        <f t="shared" si="25"/>
        <v>85.279251018719421</v>
      </c>
      <c r="Q225">
        <f t="shared" si="26"/>
        <v>84.168904461722818</v>
      </c>
      <c r="R225" t="e">
        <f t="shared" si="27"/>
        <v>#NUM!</v>
      </c>
      <c r="V225">
        <f t="shared" si="29"/>
        <v>-75.578008941207457</v>
      </c>
      <c r="W225">
        <f t="shared" si="30"/>
        <v>-64.578008941207656</v>
      </c>
      <c r="X225">
        <f t="shared" si="31"/>
        <v>59.421991058792543</v>
      </c>
    </row>
    <row r="226" spans="1:24">
      <c r="A226">
        <f t="shared" si="32"/>
        <v>910.38599999999997</v>
      </c>
      <c r="B226">
        <v>5506</v>
      </c>
      <c r="C226" s="1">
        <v>26</v>
      </c>
      <c r="D226" s="1">
        <v>60</v>
      </c>
      <c r="E226" s="1">
        <v>22</v>
      </c>
      <c r="F226" s="1">
        <v>83</v>
      </c>
      <c r="G226" s="1"/>
      <c r="H226" s="1"/>
      <c r="I226">
        <v>85.31</v>
      </c>
      <c r="J226">
        <v>-141.30000000000001</v>
      </c>
      <c r="K226" s="1">
        <f t="shared" si="28"/>
        <v>-153</v>
      </c>
      <c r="L226" s="1">
        <f>4/8.75*180+180*0</f>
        <v>82.285714285714278</v>
      </c>
      <c r="N226" s="1"/>
      <c r="O226" s="1">
        <v>1.5091428571428571</v>
      </c>
      <c r="P226">
        <f t="shared" si="25"/>
        <v>85.571381008158241</v>
      </c>
      <c r="Q226">
        <f t="shared" si="26"/>
        <v>84.120367665186009</v>
      </c>
      <c r="R226" t="e">
        <f t="shared" si="27"/>
        <v>#NUM!</v>
      </c>
      <c r="V226">
        <f t="shared" si="29"/>
        <v>-86.966887542964031</v>
      </c>
      <c r="W226">
        <f t="shared" si="30"/>
        <v>-63.966887542964912</v>
      </c>
      <c r="X226">
        <f t="shared" si="31"/>
        <v>-146.96688754296446</v>
      </c>
    </row>
    <row r="227" spans="1:24">
      <c r="A227">
        <f t="shared" si="32"/>
        <v>910.88599999999997</v>
      </c>
      <c r="B227">
        <v>5658</v>
      </c>
      <c r="C227" s="1">
        <v>25</v>
      </c>
      <c r="D227" s="1">
        <v>255</v>
      </c>
      <c r="E227" s="1">
        <v>24</v>
      </c>
      <c r="F227" s="1">
        <v>289</v>
      </c>
      <c r="G227" s="1"/>
      <c r="H227" s="1"/>
      <c r="I227">
        <v>85.501000000000005</v>
      </c>
      <c r="J227">
        <v>-140.5</v>
      </c>
      <c r="K227" s="1">
        <f t="shared" si="28"/>
        <v>-154</v>
      </c>
      <c r="L227" s="1">
        <f>5/8.25*180+180*1</f>
        <v>289.09090909090912</v>
      </c>
      <c r="N227" s="1"/>
      <c r="O227" s="1">
        <v>1.5960000000000001</v>
      </c>
      <c r="P227">
        <f t="shared" si="25"/>
        <v>85.143857079325471</v>
      </c>
      <c r="Q227">
        <f t="shared" si="26"/>
        <v>84.789281740116849</v>
      </c>
      <c r="R227" t="e">
        <f t="shared" si="27"/>
        <v>#NUM!</v>
      </c>
      <c r="V227">
        <f t="shared" si="29"/>
        <v>-92.042980333834379</v>
      </c>
      <c r="W227">
        <f t="shared" si="30"/>
        <v>-58.04298033383418</v>
      </c>
      <c r="X227">
        <f t="shared" si="31"/>
        <v>12.957019666166048</v>
      </c>
    </row>
    <row r="228" spans="1:24">
      <c r="A228">
        <f t="shared" si="32"/>
        <v>911.38599999999997</v>
      </c>
      <c r="B228">
        <v>5812</v>
      </c>
      <c r="C228" s="1">
        <v>23</v>
      </c>
      <c r="D228" s="1">
        <v>95</v>
      </c>
      <c r="E228" s="1">
        <v>23.5</v>
      </c>
      <c r="F228" s="1">
        <v>124</v>
      </c>
      <c r="G228" s="1"/>
      <c r="H228" s="1"/>
      <c r="I228">
        <v>85.733000000000004</v>
      </c>
      <c r="J228">
        <v>-138.5</v>
      </c>
      <c r="K228" s="1">
        <f t="shared" si="28"/>
        <v>-165</v>
      </c>
      <c r="L228" s="1">
        <f>5.5/8*180+180*0</f>
        <v>123.75</v>
      </c>
      <c r="N228" s="1"/>
      <c r="O228" s="1">
        <v>1.6839999999999999</v>
      </c>
      <c r="P228">
        <f t="shared" si="25"/>
        <v>84.331613626236589</v>
      </c>
      <c r="Q228">
        <f t="shared" si="26"/>
        <v>84.518414151319462</v>
      </c>
      <c r="R228" t="e">
        <f t="shared" si="27"/>
        <v>#NUM!</v>
      </c>
      <c r="V228">
        <f t="shared" si="29"/>
        <v>-90.014811187742509</v>
      </c>
      <c r="W228">
        <f t="shared" si="30"/>
        <v>-61.014811187742453</v>
      </c>
      <c r="X228">
        <f t="shared" si="31"/>
        <v>174.98518881225735</v>
      </c>
    </row>
    <row r="229" spans="1:24">
      <c r="A229">
        <f t="shared" si="32"/>
        <v>911.88599999999997</v>
      </c>
      <c r="B229">
        <v>5970</v>
      </c>
      <c r="C229" s="1">
        <v>24</v>
      </c>
      <c r="D229" s="1">
        <v>295</v>
      </c>
      <c r="E229" s="1">
        <v>24</v>
      </c>
      <c r="F229" s="1">
        <v>309</v>
      </c>
      <c r="G229" s="1"/>
      <c r="H229" s="1"/>
      <c r="I229">
        <v>85.944000000000003</v>
      </c>
      <c r="J229">
        <v>-134.30000000000001</v>
      </c>
      <c r="K229" s="1">
        <f t="shared" si="28"/>
        <v>-175</v>
      </c>
      <c r="L229" s="1">
        <f>5.7/8*180+180*1</f>
        <v>308.25</v>
      </c>
      <c r="N229" s="1"/>
      <c r="O229" s="1">
        <v>1.7351351351351352</v>
      </c>
      <c r="P229">
        <f t="shared" si="25"/>
        <v>84.650146604981714</v>
      </c>
      <c r="Q229">
        <f t="shared" si="26"/>
        <v>84.650146604981714</v>
      </c>
      <c r="R229" t="e">
        <f t="shared" si="27"/>
        <v>#NUM!</v>
      </c>
      <c r="V229">
        <f t="shared" si="29"/>
        <v>-83.77811816772649</v>
      </c>
      <c r="W229">
        <f t="shared" si="30"/>
        <v>-69.77811816772558</v>
      </c>
      <c r="X229">
        <f t="shared" si="31"/>
        <v>-18.778118167725921</v>
      </c>
    </row>
    <row r="230" spans="1:24">
      <c r="A230">
        <f t="shared" si="32"/>
        <v>912.38599999999997</v>
      </c>
      <c r="B230">
        <v>6134</v>
      </c>
      <c r="C230" s="1">
        <v>24.5</v>
      </c>
      <c r="D230" s="1">
        <v>120</v>
      </c>
      <c r="E230" s="1">
        <v>24.5</v>
      </c>
      <c r="F230" s="1">
        <v>128</v>
      </c>
      <c r="G230" s="1"/>
      <c r="H230" s="1"/>
      <c r="I230">
        <v>86.131</v>
      </c>
      <c r="J230">
        <v>-128</v>
      </c>
      <c r="K230" s="1">
        <f t="shared" si="28"/>
        <v>-181</v>
      </c>
      <c r="L230" s="1">
        <f>5.5/7.75*180+180*0</f>
        <v>127.74193548387098</v>
      </c>
      <c r="N230" s="1"/>
      <c r="O230" s="1">
        <v>1.7794594594594595</v>
      </c>
      <c r="P230">
        <f t="shared" si="25"/>
        <v>84.784919133715917</v>
      </c>
      <c r="Q230">
        <f t="shared" si="26"/>
        <v>84.784919133715917</v>
      </c>
      <c r="R230" t="e">
        <f t="shared" si="27"/>
        <v>#NUM!</v>
      </c>
      <c r="V230">
        <f t="shared" si="29"/>
        <v>-86.228639336822113</v>
      </c>
      <c r="W230">
        <f t="shared" si="30"/>
        <v>-78.228639336822141</v>
      </c>
      <c r="X230">
        <f t="shared" si="31"/>
        <v>153.77136066317831</v>
      </c>
    </row>
    <row r="231" spans="1:24">
      <c r="A231">
        <f t="shared" si="32"/>
        <v>912.88599999999997</v>
      </c>
      <c r="B231">
        <v>6302</v>
      </c>
      <c r="C231" s="1">
        <v>25</v>
      </c>
      <c r="D231" s="1"/>
      <c r="E231" s="1">
        <v>22.5</v>
      </c>
      <c r="F231" s="1"/>
      <c r="G231" s="1"/>
      <c r="H231" s="1"/>
      <c r="I231">
        <v>86.209000000000003</v>
      </c>
      <c r="J231">
        <v>-120.8</v>
      </c>
      <c r="N231" s="1"/>
      <c r="O231" s="1">
        <v>1.7770000000000001</v>
      </c>
      <c r="P231">
        <f t="shared" si="25"/>
        <v>84.962857079325474</v>
      </c>
      <c r="Q231">
        <f t="shared" si="26"/>
        <v>84.047707268111978</v>
      </c>
      <c r="R231" t="e">
        <f t="shared" si="27"/>
        <v>#NUM!</v>
      </c>
    </row>
    <row r="232" spans="1:24">
      <c r="A232">
        <f t="shared" si="32"/>
        <v>913.38599999999997</v>
      </c>
      <c r="B232">
        <v>6476</v>
      </c>
      <c r="C232" s="1">
        <v>25</v>
      </c>
      <c r="D232" s="1"/>
      <c r="E232" s="1">
        <v>23.5</v>
      </c>
      <c r="F232" s="1"/>
      <c r="G232" s="1"/>
      <c r="H232" s="1"/>
      <c r="I232">
        <v>86.201999999999998</v>
      </c>
      <c r="J232">
        <v>-115.3</v>
      </c>
      <c r="N232" s="1"/>
      <c r="O232" s="1">
        <v>1.7335</v>
      </c>
      <c r="P232">
        <f t="shared" si="25"/>
        <v>85.006357079325468</v>
      </c>
      <c r="Q232">
        <f t="shared" si="26"/>
        <v>84.468914151319453</v>
      </c>
      <c r="R232" t="e">
        <f t="shared" si="27"/>
        <v>#NUM!</v>
      </c>
    </row>
    <row r="233" spans="1:24">
      <c r="A233">
        <f t="shared" si="32"/>
        <v>913.88599999999997</v>
      </c>
      <c r="B233">
        <v>6654</v>
      </c>
      <c r="C233" s="1">
        <v>24</v>
      </c>
      <c r="D233" s="1"/>
      <c r="E233" s="1">
        <v>23</v>
      </c>
      <c r="F233" s="1"/>
      <c r="G233" s="1"/>
      <c r="H233" s="1"/>
      <c r="I233">
        <v>86.275000000000006</v>
      </c>
      <c r="J233">
        <v>-115.1</v>
      </c>
      <c r="N233" s="1"/>
      <c r="O233" s="1">
        <v>1.6685714285714286</v>
      </c>
      <c r="P233">
        <f t="shared" ref="P233:P274" si="33">20*LOG(P$12*$C233/0.00002)-$N233-$O233+P$4</f>
        <v>84.716710311545427</v>
      </c>
      <c r="Q233">
        <f t="shared" ref="Q233:Q274" si="34">20*LOG(Q$12*$E233/0.00002)-$N233-$O233+Q$4</f>
        <v>84.347042197665161</v>
      </c>
      <c r="R233" t="e">
        <f t="shared" ref="R233:R274" si="35">20*LOG(R$12*$G233/0.00002)-$N233-$O233+R$4</f>
        <v>#NUM!</v>
      </c>
    </row>
    <row r="234" spans="1:24">
      <c r="A234">
        <f t="shared" si="32"/>
        <v>914.38599999999997</v>
      </c>
      <c r="B234">
        <v>6834</v>
      </c>
      <c r="C234" s="1">
        <v>24.5</v>
      </c>
      <c r="D234" s="1"/>
      <c r="E234" s="1">
        <v>23.5</v>
      </c>
      <c r="F234" s="1"/>
      <c r="G234" s="1"/>
      <c r="H234" s="1"/>
      <c r="I234">
        <v>86.367999999999995</v>
      </c>
      <c r="J234">
        <v>-122</v>
      </c>
      <c r="N234" s="1"/>
      <c r="O234" s="1">
        <v>1.54</v>
      </c>
      <c r="P234">
        <f t="shared" si="33"/>
        <v>85.024378593175371</v>
      </c>
      <c r="Q234">
        <f t="shared" si="34"/>
        <v>84.662414151319453</v>
      </c>
      <c r="R234" t="e">
        <f t="shared" si="35"/>
        <v>#NUM!</v>
      </c>
    </row>
    <row r="235" spans="1:24">
      <c r="A235">
        <f t="shared" si="32"/>
        <v>914.88599999999997</v>
      </c>
      <c r="B235">
        <v>7022</v>
      </c>
      <c r="C235" s="1">
        <v>23.5</v>
      </c>
      <c r="D235" s="1"/>
      <c r="E235" s="1">
        <v>26</v>
      </c>
      <c r="F235" s="1"/>
      <c r="G235" s="1"/>
      <c r="H235" s="1"/>
      <c r="I235">
        <v>86.391999999999996</v>
      </c>
      <c r="J235">
        <v>-134.19999999999999</v>
      </c>
      <c r="N235" s="1"/>
      <c r="O235" s="1">
        <v>1.4057142857142857</v>
      </c>
      <c r="P235">
        <f t="shared" si="33"/>
        <v>84.796699865605177</v>
      </c>
      <c r="Q235">
        <f t="shared" si="34"/>
        <v>85.674809579586821</v>
      </c>
      <c r="R235" t="e">
        <f t="shared" si="35"/>
        <v>#NUM!</v>
      </c>
    </row>
    <row r="236" spans="1:24">
      <c r="A236">
        <f t="shared" si="32"/>
        <v>915.38599999999997</v>
      </c>
      <c r="B236">
        <v>7214</v>
      </c>
      <c r="C236" s="1">
        <v>26</v>
      </c>
      <c r="D236" s="1"/>
      <c r="E236" s="1">
        <v>28</v>
      </c>
      <c r="F236" s="1"/>
      <c r="G236" s="1"/>
      <c r="H236" s="1"/>
      <c r="I236">
        <v>86.244</v>
      </c>
      <c r="J236">
        <v>-147.69999999999999</v>
      </c>
      <c r="N236" s="1"/>
      <c r="O236" s="1">
        <v>1.4836363636363636</v>
      </c>
      <c r="P236">
        <f t="shared" si="33"/>
        <v>85.596887501664739</v>
      </c>
      <c r="Q236">
        <f t="shared" si="34"/>
        <v>86.240581169092749</v>
      </c>
      <c r="R236" t="e">
        <f t="shared" si="35"/>
        <v>#NUM!</v>
      </c>
    </row>
    <row r="237" spans="1:24">
      <c r="A237">
        <f t="shared" si="32"/>
        <v>915.88599999999997</v>
      </c>
      <c r="B237">
        <v>7412</v>
      </c>
      <c r="C237" s="1">
        <v>27.5</v>
      </c>
      <c r="D237" s="1"/>
      <c r="E237" s="1">
        <v>30</v>
      </c>
      <c r="F237" s="1"/>
      <c r="G237" s="1"/>
      <c r="H237" s="1"/>
      <c r="I237">
        <v>85.944999999999993</v>
      </c>
      <c r="J237">
        <v>-158.5</v>
      </c>
      <c r="N237" s="1"/>
      <c r="O237" s="1">
        <v>1.5736363636363637</v>
      </c>
      <c r="P237">
        <f t="shared" si="33"/>
        <v>85.994074418853629</v>
      </c>
      <c r="Q237">
        <f t="shared" si="34"/>
        <v>86.749845636641609</v>
      </c>
      <c r="R237" t="e">
        <f t="shared" si="35"/>
        <v>#NUM!</v>
      </c>
    </row>
    <row r="238" spans="1:24">
      <c r="A238">
        <f t="shared" si="32"/>
        <v>916.38599999999997</v>
      </c>
      <c r="B238">
        <v>7614</v>
      </c>
      <c r="C238" s="1">
        <v>28.5</v>
      </c>
      <c r="D238" s="1"/>
      <c r="E238" s="1">
        <v>32</v>
      </c>
      <c r="F238" s="1"/>
      <c r="G238" s="1"/>
      <c r="H238" s="1"/>
      <c r="I238">
        <v>85.600999999999999</v>
      </c>
      <c r="J238">
        <v>-165.5</v>
      </c>
      <c r="N238" s="1"/>
      <c r="O238" s="1">
        <v>1.69</v>
      </c>
      <c r="P238">
        <f t="shared" si="33"/>
        <v>86.187954106054946</v>
      </c>
      <c r="Q238">
        <f t="shared" si="34"/>
        <v>87.194056472282853</v>
      </c>
      <c r="R238" t="e">
        <f t="shared" si="35"/>
        <v>#NUM!</v>
      </c>
    </row>
    <row r="239" spans="1:24">
      <c r="A239">
        <f t="shared" si="32"/>
        <v>916.88599999999997</v>
      </c>
      <c r="B239">
        <v>7822</v>
      </c>
      <c r="C239" s="1">
        <v>35.5</v>
      </c>
      <c r="D239" s="1"/>
      <c r="E239" s="1">
        <v>34</v>
      </c>
      <c r="F239" s="1"/>
      <c r="G239" s="1"/>
      <c r="H239" s="1"/>
      <c r="I239">
        <v>85.456000000000003</v>
      </c>
      <c r="J239">
        <v>-171.3</v>
      </c>
      <c r="N239" s="1"/>
      <c r="O239" s="1">
        <v>1.8199999999999998</v>
      </c>
      <c r="P239">
        <f t="shared" si="33"/>
        <v>87.965623966986627</v>
      </c>
      <c r="Q239">
        <f t="shared" si="34"/>
        <v>87.590635246729846</v>
      </c>
      <c r="R239" t="e">
        <f t="shared" si="35"/>
        <v>#NUM!</v>
      </c>
    </row>
    <row r="240" spans="1:24">
      <c r="A240">
        <f t="shared" si="32"/>
        <v>917.38599999999997</v>
      </c>
      <c r="B240">
        <v>8038</v>
      </c>
      <c r="C240" s="1">
        <v>37.5</v>
      </c>
      <c r="D240" s="1"/>
      <c r="E240" s="1">
        <v>32</v>
      </c>
      <c r="F240" s="1"/>
      <c r="G240" s="1"/>
      <c r="H240" s="1"/>
      <c r="I240">
        <v>85.784999999999997</v>
      </c>
      <c r="J240">
        <v>-178</v>
      </c>
      <c r="N240" s="1"/>
      <c r="O240" s="1">
        <v>1.8823999999999999</v>
      </c>
      <c r="P240">
        <f t="shared" si="33"/>
        <v>88.379282260439098</v>
      </c>
      <c r="Q240">
        <f t="shared" si="34"/>
        <v>87.001656472282846</v>
      </c>
      <c r="R240" t="e">
        <f t="shared" si="35"/>
        <v>#NUM!</v>
      </c>
    </row>
    <row r="241" spans="1:18">
      <c r="A241">
        <f t="shared" si="32"/>
        <v>917.88599999999997</v>
      </c>
      <c r="B241">
        <v>8258</v>
      </c>
      <c r="C241" s="1">
        <v>35.5</v>
      </c>
      <c r="D241" s="1"/>
      <c r="E241" s="1">
        <v>34</v>
      </c>
      <c r="F241" s="1"/>
      <c r="G241" s="1"/>
      <c r="H241" s="1"/>
      <c r="I241">
        <v>86.302000000000007</v>
      </c>
      <c r="J241">
        <v>172.5</v>
      </c>
      <c r="N241" s="1"/>
      <c r="O241" s="1">
        <v>1.8384</v>
      </c>
      <c r="P241">
        <f t="shared" si="33"/>
        <v>87.947223966986627</v>
      </c>
      <c r="Q241">
        <f t="shared" si="34"/>
        <v>87.572235246729832</v>
      </c>
      <c r="R241" t="e">
        <f t="shared" si="35"/>
        <v>#NUM!</v>
      </c>
    </row>
    <row r="242" spans="1:18">
      <c r="A242">
        <f t="shared" si="32"/>
        <v>918.38599999999997</v>
      </c>
      <c r="B242">
        <v>8484</v>
      </c>
      <c r="C242" s="1">
        <v>32</v>
      </c>
      <c r="D242" s="1"/>
      <c r="E242" s="1">
        <v>34</v>
      </c>
      <c r="F242" s="1"/>
      <c r="G242" s="1"/>
      <c r="H242" s="1"/>
      <c r="I242">
        <v>86.74</v>
      </c>
      <c r="J242">
        <v>160.24</v>
      </c>
      <c r="N242" s="1"/>
      <c r="O242" s="1">
        <v>1.8251851851851852</v>
      </c>
      <c r="P242">
        <f t="shared" si="33"/>
        <v>87.058871287097659</v>
      </c>
      <c r="Q242">
        <f t="shared" si="34"/>
        <v>87.585450061544648</v>
      </c>
      <c r="R242" t="e">
        <f t="shared" si="35"/>
        <v>#NUM!</v>
      </c>
    </row>
    <row r="243" spans="1:18">
      <c r="A243">
        <f t="shared" si="32"/>
        <v>918.88599999999997</v>
      </c>
      <c r="B243">
        <v>8716</v>
      </c>
      <c r="C243" s="1">
        <v>32.5</v>
      </c>
      <c r="D243" s="1"/>
      <c r="E243" s="1">
        <v>34</v>
      </c>
      <c r="F243" s="1"/>
      <c r="G243" s="1"/>
      <c r="H243" s="1"/>
      <c r="I243">
        <v>87.072000000000003</v>
      </c>
      <c r="J243">
        <v>147.19999999999999</v>
      </c>
      <c r="N243" s="1"/>
      <c r="O243" s="1">
        <v>1.9970370370370372</v>
      </c>
      <c r="P243">
        <f t="shared" si="33"/>
        <v>87.021687088425196</v>
      </c>
      <c r="Q243">
        <f t="shared" si="34"/>
        <v>87.413598209692807</v>
      </c>
      <c r="R243" t="e">
        <f t="shared" si="35"/>
        <v>#NUM!</v>
      </c>
    </row>
    <row r="244" spans="1:18">
      <c r="A244">
        <f t="shared" si="32"/>
        <v>919.38599999999997</v>
      </c>
      <c r="B244">
        <v>8954</v>
      </c>
      <c r="C244" s="1">
        <v>33.5</v>
      </c>
      <c r="D244" s="1"/>
      <c r="E244" s="1">
        <v>33.5</v>
      </c>
      <c r="F244" s="1"/>
      <c r="G244" s="1"/>
      <c r="H244" s="1"/>
      <c r="I244">
        <v>87.314999999999998</v>
      </c>
      <c r="J244">
        <v>133.61000000000001</v>
      </c>
      <c r="N244" s="1"/>
      <c r="O244" s="1">
        <v>2.1733333333333333</v>
      </c>
      <c r="P244">
        <f t="shared" si="33"/>
        <v>87.10861971328832</v>
      </c>
      <c r="Q244">
        <f t="shared" si="34"/>
        <v>87.10861971328832</v>
      </c>
      <c r="R244" t="e">
        <f t="shared" si="35"/>
        <v>#NUM!</v>
      </c>
    </row>
    <row r="245" spans="1:18">
      <c r="A245">
        <f t="shared" si="32"/>
        <v>919.88599999999997</v>
      </c>
      <c r="B245">
        <v>9200</v>
      </c>
      <c r="C245" s="1">
        <v>34</v>
      </c>
      <c r="D245" s="1"/>
      <c r="E245" s="1">
        <v>34</v>
      </c>
      <c r="F245" s="1"/>
      <c r="G245" s="1"/>
      <c r="H245" s="1"/>
      <c r="I245">
        <v>87.272000000000006</v>
      </c>
      <c r="J245">
        <v>119.39</v>
      </c>
      <c r="N245" s="1"/>
      <c r="O245" s="1">
        <v>2.2736842105263158</v>
      </c>
      <c r="P245">
        <f t="shared" si="33"/>
        <v>87.136951036203527</v>
      </c>
      <c r="Q245">
        <f t="shared" si="34"/>
        <v>87.136951036203527</v>
      </c>
      <c r="R245" t="e">
        <f t="shared" si="35"/>
        <v>#NUM!</v>
      </c>
    </row>
    <row r="246" spans="1:18">
      <c r="A246">
        <f t="shared" si="32"/>
        <v>920.38599999999997</v>
      </c>
      <c r="B246">
        <v>9452</v>
      </c>
      <c r="C246" s="1">
        <v>29</v>
      </c>
      <c r="D246" s="1"/>
      <c r="E246" s="1">
        <v>32.5</v>
      </c>
      <c r="F246" s="1"/>
      <c r="G246" s="1"/>
      <c r="H246" s="1"/>
      <c r="I246">
        <v>87.176000000000002</v>
      </c>
      <c r="J246">
        <v>105.36</v>
      </c>
      <c r="N246" s="1"/>
      <c r="O246" s="1">
        <v>2.3621052631578947</v>
      </c>
      <c r="P246">
        <f t="shared" si="33"/>
        <v>85.666911600705959</v>
      </c>
      <c r="Q246">
        <f t="shared" si="34"/>
        <v>86.656618862304327</v>
      </c>
      <c r="R246" t="e">
        <f t="shared" si="35"/>
        <v>#NUM!</v>
      </c>
    </row>
    <row r="247" spans="1:18">
      <c r="A247">
        <f t="shared" si="32"/>
        <v>920.88599999999997</v>
      </c>
      <c r="B247">
        <v>9710</v>
      </c>
      <c r="C247" s="1">
        <v>29</v>
      </c>
      <c r="D247" s="1"/>
      <c r="E247" s="1">
        <v>30</v>
      </c>
      <c r="F247" s="1"/>
      <c r="G247" s="1"/>
      <c r="H247" s="1"/>
      <c r="I247">
        <v>86.856999999999999</v>
      </c>
      <c r="J247">
        <v>92.004999999999995</v>
      </c>
      <c r="N247" s="1"/>
      <c r="O247" s="1">
        <v>2.4</v>
      </c>
      <c r="P247">
        <f t="shared" si="33"/>
        <v>85.629016863863853</v>
      </c>
      <c r="Q247">
        <f t="shared" si="34"/>
        <v>85.923482000277971</v>
      </c>
      <c r="R247" t="e">
        <f t="shared" si="35"/>
        <v>#NUM!</v>
      </c>
    </row>
    <row r="248" spans="1:18">
      <c r="A248">
        <f t="shared" si="32"/>
        <v>921.38599999999997</v>
      </c>
      <c r="B248">
        <v>9976</v>
      </c>
      <c r="C248" s="1">
        <v>29</v>
      </c>
      <c r="D248" s="1"/>
      <c r="E248" s="1">
        <v>29</v>
      </c>
      <c r="F248" s="1"/>
      <c r="G248" s="1"/>
      <c r="H248" s="1"/>
      <c r="I248">
        <v>86.691999999999993</v>
      </c>
      <c r="J248">
        <v>81.997</v>
      </c>
      <c r="N248" s="1"/>
      <c r="O248" s="1">
        <v>2.4</v>
      </c>
      <c r="P248">
        <f t="shared" si="33"/>
        <v>85.629016863863853</v>
      </c>
      <c r="Q248">
        <f t="shared" si="34"/>
        <v>85.629016863863853</v>
      </c>
      <c r="R248" t="e">
        <f t="shared" si="35"/>
        <v>#NUM!</v>
      </c>
    </row>
    <row r="249" spans="1:18">
      <c r="A249">
        <f t="shared" si="32"/>
        <v>921.88599999999997</v>
      </c>
      <c r="B249">
        <v>10250</v>
      </c>
      <c r="C249" s="1">
        <v>26</v>
      </c>
      <c r="D249" s="1"/>
      <c r="E249" s="1">
        <v>26</v>
      </c>
      <c r="F249" s="1"/>
      <c r="G249" s="1"/>
      <c r="H249" s="1"/>
      <c r="I249">
        <v>86.965999999999994</v>
      </c>
      <c r="J249">
        <v>74.155000000000001</v>
      </c>
      <c r="N249" s="1"/>
      <c r="O249" s="1">
        <v>2.4</v>
      </c>
      <c r="P249">
        <f t="shared" si="33"/>
        <v>84.680523865301097</v>
      </c>
      <c r="Q249">
        <f t="shared" si="34"/>
        <v>84.680523865301097</v>
      </c>
      <c r="R249" t="e">
        <f t="shared" si="35"/>
        <v>#NUM!</v>
      </c>
    </row>
    <row r="250" spans="1:18">
      <c r="A250">
        <f t="shared" si="32"/>
        <v>922.38599999999997</v>
      </c>
      <c r="B250">
        <v>10530</v>
      </c>
      <c r="C250" s="1">
        <v>21</v>
      </c>
      <c r="D250" s="1"/>
      <c r="E250" s="1">
        <v>28</v>
      </c>
      <c r="F250" s="1"/>
      <c r="G250" s="1"/>
      <c r="H250" s="1"/>
      <c r="I250">
        <v>87.781999999999996</v>
      </c>
      <c r="J250">
        <v>66.923000000000002</v>
      </c>
      <c r="N250" s="1"/>
      <c r="O250" s="1">
        <v>2.4</v>
      </c>
      <c r="P250">
        <f t="shared" si="33"/>
        <v>82.82544280056311</v>
      </c>
      <c r="Q250">
        <f t="shared" si="34"/>
        <v>85.324217532729108</v>
      </c>
      <c r="R250" t="e">
        <f t="shared" si="35"/>
        <v>#NUM!</v>
      </c>
    </row>
    <row r="251" spans="1:18">
      <c r="A251">
        <f t="shared" si="32"/>
        <v>922.88599999999997</v>
      </c>
      <c r="B251">
        <v>10818</v>
      </c>
      <c r="C251" s="1">
        <v>21</v>
      </c>
      <c r="D251" s="1"/>
      <c r="E251" s="1">
        <v>32</v>
      </c>
      <c r="F251" s="1"/>
      <c r="G251" s="1"/>
      <c r="H251" s="1"/>
      <c r="I251">
        <v>88.897999999999996</v>
      </c>
      <c r="J251">
        <v>59.652999999999999</v>
      </c>
      <c r="N251" s="1"/>
      <c r="O251" s="1">
        <v>2.401176470588235</v>
      </c>
      <c r="P251">
        <f t="shared" si="33"/>
        <v>82.824266329974876</v>
      </c>
      <c r="Q251">
        <f t="shared" si="34"/>
        <v>86.48288000169461</v>
      </c>
      <c r="R251" t="e">
        <f t="shared" si="35"/>
        <v>#NUM!</v>
      </c>
    </row>
    <row r="252" spans="1:18">
      <c r="A252">
        <f t="shared" si="32"/>
        <v>923.38599999999997</v>
      </c>
      <c r="B252">
        <v>11114</v>
      </c>
      <c r="C252" s="1">
        <v>21.5</v>
      </c>
      <c r="D252" s="1"/>
      <c r="E252" s="1">
        <v>38</v>
      </c>
      <c r="F252" s="1"/>
      <c r="G252" s="1"/>
      <c r="H252" s="1"/>
      <c r="I252">
        <v>89.816999999999993</v>
      </c>
      <c r="J252">
        <v>52.470999999999997</v>
      </c>
      <c r="N252" s="1"/>
      <c r="O252" s="1">
        <v>2.4447058823529413</v>
      </c>
      <c r="P252">
        <f t="shared" si="33"/>
        <v>82.985120221843914</v>
      </c>
      <c r="Q252">
        <f t="shared" si="34"/>
        <v>87.932022955868007</v>
      </c>
      <c r="R252" t="e">
        <f t="shared" si="35"/>
        <v>#NUM!</v>
      </c>
    </row>
    <row r="253" spans="1:18">
      <c r="A253">
        <f t="shared" si="32"/>
        <v>923.88599999999997</v>
      </c>
      <c r="B253">
        <v>11418</v>
      </c>
      <c r="C253" s="1">
        <v>26</v>
      </c>
      <c r="D253" s="1"/>
      <c r="E253" s="1">
        <v>44</v>
      </c>
      <c r="F253" s="1"/>
      <c r="G253" s="1"/>
      <c r="H253" s="1"/>
      <c r="I253">
        <v>90.174999999999997</v>
      </c>
      <c r="J253">
        <v>47.356999999999999</v>
      </c>
      <c r="N253" s="1"/>
      <c r="O253" s="1">
        <v>2.4894117647058822</v>
      </c>
      <c r="P253">
        <f t="shared" si="33"/>
        <v>84.591112100595225</v>
      </c>
      <c r="Q253">
        <f t="shared" si="34"/>
        <v>89.160698670902619</v>
      </c>
      <c r="R253" t="e">
        <f t="shared" si="35"/>
        <v>#NUM!</v>
      </c>
    </row>
    <row r="254" spans="1:18">
      <c r="A254">
        <f t="shared" si="32"/>
        <v>924.38599999999997</v>
      </c>
      <c r="B254">
        <v>11730</v>
      </c>
      <c r="C254" s="1">
        <v>30.5</v>
      </c>
      <c r="D254" s="1"/>
      <c r="E254" s="1">
        <v>55</v>
      </c>
      <c r="F254" s="1"/>
      <c r="G254" s="1"/>
      <c r="H254" s="1"/>
      <c r="I254">
        <v>89.864999999999995</v>
      </c>
      <c r="J254">
        <v>46.972999999999999</v>
      </c>
      <c r="N254" s="1"/>
      <c r="O254" s="1">
        <v>2.5</v>
      </c>
      <c r="P254">
        <f t="shared" si="33"/>
        <v>85.967053692820457</v>
      </c>
      <c r="Q254">
        <f t="shared" si="34"/>
        <v>91.088310695769621</v>
      </c>
      <c r="R254" t="e">
        <f t="shared" si="35"/>
        <v>#NUM!</v>
      </c>
    </row>
    <row r="255" spans="1:18">
      <c r="A255">
        <f t="shared" si="32"/>
        <v>924.88599999999997</v>
      </c>
      <c r="B255">
        <v>12052</v>
      </c>
      <c r="C255" s="1">
        <v>43</v>
      </c>
      <c r="D255" s="1"/>
      <c r="E255" s="1">
        <v>52</v>
      </c>
      <c r="F255" s="1"/>
      <c r="G255" s="1"/>
      <c r="H255" s="1"/>
      <c r="I255">
        <v>89.161000000000001</v>
      </c>
      <c r="J255">
        <v>52.189</v>
      </c>
      <c r="N255" s="1"/>
      <c r="O255" s="1">
        <v>2.5</v>
      </c>
      <c r="P255">
        <f t="shared" si="33"/>
        <v>88.950426017476474</v>
      </c>
      <c r="Q255">
        <f t="shared" si="34"/>
        <v>90.601123778580728</v>
      </c>
      <c r="R255" t="e">
        <f t="shared" si="35"/>
        <v>#NUM!</v>
      </c>
    </row>
    <row r="256" spans="1:18">
      <c r="A256">
        <f t="shared" si="32"/>
        <v>925.38599999999997</v>
      </c>
      <c r="B256">
        <v>12382</v>
      </c>
      <c r="C256" s="1">
        <v>49</v>
      </c>
      <c r="D256" s="1"/>
      <c r="E256" s="1">
        <v>45</v>
      </c>
      <c r="F256" s="1"/>
      <c r="G256" s="1"/>
      <c r="H256" s="1"/>
      <c r="I256">
        <v>88.287999999999997</v>
      </c>
      <c r="J256">
        <v>64.331000000000003</v>
      </c>
      <c r="N256" s="1"/>
      <c r="O256" s="1">
        <v>2.6038461538461539</v>
      </c>
      <c r="P256">
        <f t="shared" si="33"/>
        <v>89.981132352608853</v>
      </c>
      <c r="Q256">
        <f t="shared" si="34"/>
        <v>89.241461027545455</v>
      </c>
      <c r="R256" t="e">
        <f t="shared" si="35"/>
        <v>#NUM!</v>
      </c>
    </row>
    <row r="257" spans="1:18">
      <c r="A257">
        <f t="shared" si="32"/>
        <v>925.88599999999997</v>
      </c>
      <c r="B257">
        <v>12722</v>
      </c>
      <c r="C257" s="1">
        <v>48</v>
      </c>
      <c r="D257" s="1"/>
      <c r="E257" s="1">
        <v>45</v>
      </c>
      <c r="F257" s="1"/>
      <c r="G257" s="1"/>
      <c r="H257" s="1"/>
      <c r="I257">
        <v>87.537999999999997</v>
      </c>
      <c r="J257">
        <v>79.941999999999993</v>
      </c>
      <c r="N257" s="1"/>
      <c r="O257" s="1">
        <v>2.821794871794872</v>
      </c>
      <c r="P257">
        <f t="shared" si="33"/>
        <v>89.584086781601599</v>
      </c>
      <c r="Q257">
        <f t="shared" si="34"/>
        <v>89.023512309596725</v>
      </c>
      <c r="R257" t="e">
        <f t="shared" si="35"/>
        <v>#NUM!</v>
      </c>
    </row>
    <row r="258" spans="1:18">
      <c r="A258">
        <f t="shared" si="32"/>
        <v>926.38599999999997</v>
      </c>
      <c r="B258">
        <v>13070</v>
      </c>
      <c r="C258" s="1">
        <v>49</v>
      </c>
      <c r="D258" s="1"/>
      <c r="E258" s="1">
        <v>41.5</v>
      </c>
      <c r="F258" s="1"/>
      <c r="G258" s="1"/>
      <c r="H258" s="1"/>
      <c r="I258">
        <v>87.257000000000005</v>
      </c>
      <c r="J258">
        <v>90.7</v>
      </c>
      <c r="N258" s="1"/>
      <c r="O258" s="1">
        <v>3.0168674698795179</v>
      </c>
      <c r="P258">
        <f t="shared" si="33"/>
        <v>89.568111036575488</v>
      </c>
      <c r="Q258">
        <f t="shared" si="34"/>
        <v>88.125151370247067</v>
      </c>
      <c r="R258" t="e">
        <f t="shared" si="35"/>
        <v>#NUM!</v>
      </c>
    </row>
    <row r="259" spans="1:18">
      <c r="A259">
        <f t="shared" si="32"/>
        <v>926.88599999999997</v>
      </c>
      <c r="B259">
        <v>13428</v>
      </c>
      <c r="C259" s="1">
        <v>44</v>
      </c>
      <c r="D259" s="1"/>
      <c r="E259" s="1">
        <v>35</v>
      </c>
      <c r="F259" s="1"/>
      <c r="G259" s="1"/>
      <c r="H259" s="1"/>
      <c r="I259">
        <v>87.581999999999994</v>
      </c>
      <c r="J259">
        <v>89.227999999999994</v>
      </c>
      <c r="N259" s="1"/>
      <c r="O259" s="1">
        <v>3.1031325301204822</v>
      </c>
      <c r="P259">
        <f t="shared" si="33"/>
        <v>88.546977905488021</v>
      </c>
      <c r="Q259">
        <f t="shared" si="34"/>
        <v>86.559285262769762</v>
      </c>
      <c r="R259" t="e">
        <f t="shared" si="35"/>
        <v>#NUM!</v>
      </c>
    </row>
    <row r="260" spans="1:18">
      <c r="A260">
        <f t="shared" si="32"/>
        <v>927.38599999999997</v>
      </c>
      <c r="B260">
        <v>13796</v>
      </c>
      <c r="C260" s="1">
        <v>40</v>
      </c>
      <c r="D260" s="1"/>
      <c r="E260" s="1">
        <v>44</v>
      </c>
      <c r="F260" s="1"/>
      <c r="G260" s="1"/>
      <c r="H260" s="1"/>
      <c r="I260">
        <v>88.262</v>
      </c>
      <c r="J260">
        <v>71.828000000000003</v>
      </c>
      <c r="N260" s="1"/>
      <c r="O260" s="1">
        <v>3.1918072289156627</v>
      </c>
      <c r="P260">
        <f t="shared" si="33"/>
        <v>87.630449503528311</v>
      </c>
      <c r="Q260">
        <f t="shared" si="34"/>
        <v>88.458303206692833</v>
      </c>
      <c r="R260" t="e">
        <f t="shared" si="35"/>
        <v>#NUM!</v>
      </c>
    </row>
    <row r="261" spans="1:18">
      <c r="A261">
        <f t="shared" si="32"/>
        <v>927.88599999999997</v>
      </c>
      <c r="B261">
        <v>14174</v>
      </c>
      <c r="C261" s="1">
        <v>45</v>
      </c>
      <c r="D261" s="1"/>
      <c r="E261" s="1">
        <v>54</v>
      </c>
      <c r="F261" s="1"/>
      <c r="G261" s="1"/>
      <c r="H261" s="1"/>
      <c r="I261">
        <v>88.82</v>
      </c>
      <c r="J261">
        <v>39.737000000000002</v>
      </c>
      <c r="N261" s="1"/>
      <c r="O261" s="1">
        <v>3.2790804597701149</v>
      </c>
      <c r="P261">
        <f t="shared" si="33"/>
        <v>88.56622672162149</v>
      </c>
      <c r="Q261">
        <f t="shared" si="34"/>
        <v>90.149851642573992</v>
      </c>
      <c r="R261" t="e">
        <f t="shared" si="35"/>
        <v>#NUM!</v>
      </c>
    </row>
    <row r="262" spans="1:18">
      <c r="A262">
        <f t="shared" si="32"/>
        <v>928.38599999999997</v>
      </c>
      <c r="B262">
        <v>14560</v>
      </c>
      <c r="C262" s="1">
        <v>41</v>
      </c>
      <c r="D262" s="1"/>
      <c r="E262" s="1">
        <v>50</v>
      </c>
      <c r="F262" s="1"/>
      <c r="G262" s="1"/>
      <c r="H262" s="1"/>
      <c r="I262">
        <v>88.784000000000006</v>
      </c>
      <c r="J262">
        <v>7.3093000000000004</v>
      </c>
      <c r="N262" s="1"/>
      <c r="O262" s="1">
        <v>3.367816091954023</v>
      </c>
      <c r="P262">
        <f t="shared" si="33"/>
        <v>87.668917948325415</v>
      </c>
      <c r="Q262">
        <f t="shared" si="34"/>
        <v>89.392640900651074</v>
      </c>
      <c r="R262" t="e">
        <f t="shared" si="35"/>
        <v>#NUM!</v>
      </c>
    </row>
    <row r="263" spans="1:18">
      <c r="A263">
        <f t="shared" si="32"/>
        <v>928.88599999999997</v>
      </c>
      <c r="B263">
        <v>14960</v>
      </c>
      <c r="C263" s="1">
        <v>42</v>
      </c>
      <c r="D263" s="1"/>
      <c r="E263" s="1">
        <v>47</v>
      </c>
      <c r="F263" s="1"/>
      <c r="G263" s="1"/>
      <c r="H263" s="1"/>
      <c r="I263">
        <v>88.046000000000006</v>
      </c>
      <c r="J263">
        <v>-13.86</v>
      </c>
      <c r="N263" s="1"/>
      <c r="O263" s="1">
        <v>3.4553191489361703</v>
      </c>
      <c r="P263">
        <f t="shared" si="33"/>
        <v>87.790723564906571</v>
      </c>
      <c r="Q263">
        <f t="shared" si="34"/>
        <v>88.767694915662915</v>
      </c>
      <c r="R263" t="e">
        <f t="shared" si="35"/>
        <v>#NUM!</v>
      </c>
    </row>
    <row r="264" spans="1:18">
      <c r="A264">
        <f t="shared" si="32"/>
        <v>929.38599999999997</v>
      </c>
      <c r="B264">
        <v>15368</v>
      </c>
      <c r="C264" s="1">
        <v>56</v>
      </c>
      <c r="D264" s="1"/>
      <c r="E264" s="1">
        <v>42</v>
      </c>
      <c r="F264" s="1"/>
      <c r="G264" s="1"/>
      <c r="H264" s="1"/>
      <c r="I264">
        <v>86.948999999999998</v>
      </c>
      <c r="J264">
        <v>-28.62</v>
      </c>
      <c r="N264" s="1"/>
      <c r="O264" s="1">
        <v>3.5421276595744682</v>
      </c>
      <c r="P264">
        <f t="shared" si="33"/>
        <v>90.202689786434277</v>
      </c>
      <c r="Q264">
        <f t="shared" si="34"/>
        <v>87.703915054268279</v>
      </c>
      <c r="R264" t="e">
        <f t="shared" si="35"/>
        <v>#NUM!</v>
      </c>
    </row>
    <row r="265" spans="1:18">
      <c r="A265">
        <f t="shared" si="32"/>
        <v>929.88599999999997</v>
      </c>
      <c r="B265">
        <v>15790</v>
      </c>
      <c r="C265" s="1">
        <v>48</v>
      </c>
      <c r="D265" s="1"/>
      <c r="E265" s="1">
        <v>30</v>
      </c>
      <c r="F265" s="1"/>
      <c r="G265" s="1"/>
      <c r="H265" s="1"/>
      <c r="I265">
        <v>86.066999999999993</v>
      </c>
      <c r="J265">
        <v>-42.52</v>
      </c>
      <c r="N265" s="1"/>
      <c r="O265" s="1">
        <v>3.6</v>
      </c>
      <c r="P265">
        <f t="shared" si="33"/>
        <v>88.805881653396483</v>
      </c>
      <c r="Q265">
        <f t="shared" si="34"/>
        <v>84.723482000277983</v>
      </c>
      <c r="R265" t="e">
        <f t="shared" si="35"/>
        <v>#NUM!</v>
      </c>
    </row>
    <row r="266" spans="1:18">
      <c r="A266">
        <f t="shared" si="32"/>
        <v>930.38599999999997</v>
      </c>
      <c r="B266">
        <v>16222</v>
      </c>
      <c r="C266" s="1">
        <v>40</v>
      </c>
      <c r="D266" s="1"/>
      <c r="E266" s="1">
        <v>27</v>
      </c>
      <c r="F266" s="1"/>
      <c r="G266" s="1"/>
      <c r="H266" s="1"/>
      <c r="I266">
        <v>85.963999999999999</v>
      </c>
      <c r="J266">
        <v>-57.33</v>
      </c>
      <c r="N266" s="1"/>
      <c r="O266" s="1">
        <v>3.6</v>
      </c>
      <c r="P266">
        <f t="shared" si="33"/>
        <v>87.222256732443981</v>
      </c>
      <c r="Q266">
        <f t="shared" si="34"/>
        <v>83.808332189064487</v>
      </c>
      <c r="R266" t="e">
        <f t="shared" si="35"/>
        <v>#NUM!</v>
      </c>
    </row>
    <row r="267" spans="1:18">
      <c r="A267">
        <f t="shared" si="32"/>
        <v>930.88599999999997</v>
      </c>
      <c r="B267">
        <v>16666</v>
      </c>
      <c r="C267" s="1">
        <v>34</v>
      </c>
      <c r="D267" s="1"/>
      <c r="E267" s="1">
        <v>25</v>
      </c>
      <c r="F267" s="1"/>
      <c r="G267" s="1"/>
      <c r="H267" s="1"/>
      <c r="I267">
        <v>86.837000000000003</v>
      </c>
      <c r="J267">
        <v>-75.930000000000007</v>
      </c>
      <c r="N267" s="1"/>
      <c r="O267" s="1">
        <v>3.5966037735849059</v>
      </c>
      <c r="P267">
        <f t="shared" si="33"/>
        <v>85.814031473144937</v>
      </c>
      <c r="Q267">
        <f t="shared" si="34"/>
        <v>83.143253305740572</v>
      </c>
      <c r="R267" t="e">
        <f t="shared" si="35"/>
        <v>#NUM!</v>
      </c>
    </row>
    <row r="268" spans="1:18">
      <c r="A268">
        <f t="shared" si="32"/>
        <v>931.38599999999997</v>
      </c>
      <c r="B268">
        <v>17122</v>
      </c>
      <c r="C268" s="1">
        <v>26</v>
      </c>
      <c r="D268" s="1"/>
      <c r="E268" s="1">
        <v>30</v>
      </c>
      <c r="F268" s="1"/>
      <c r="G268" s="1"/>
      <c r="H268" s="1"/>
      <c r="I268">
        <v>88.391999999999996</v>
      </c>
      <c r="J268">
        <v>-99.8</v>
      </c>
      <c r="N268" s="1"/>
      <c r="O268" s="1">
        <v>3.5535849056603772</v>
      </c>
      <c r="P268">
        <f t="shared" si="33"/>
        <v>83.526938959640731</v>
      </c>
      <c r="Q268">
        <f t="shared" si="34"/>
        <v>84.769897094617605</v>
      </c>
      <c r="R268" t="e">
        <f t="shared" si="35"/>
        <v>#NUM!</v>
      </c>
    </row>
    <row r="269" spans="1:18">
      <c r="A269">
        <f t="shared" si="32"/>
        <v>931.88599999999997</v>
      </c>
      <c r="B269">
        <v>17592</v>
      </c>
      <c r="C269" s="1">
        <v>23</v>
      </c>
      <c r="D269" s="1"/>
      <c r="E269" s="1">
        <v>39</v>
      </c>
      <c r="F269" s="1"/>
      <c r="G269" s="1"/>
      <c r="H269" s="1"/>
      <c r="I269">
        <v>89.988</v>
      </c>
      <c r="J269">
        <v>-129.6</v>
      </c>
      <c r="N269" s="1"/>
      <c r="O269" s="1">
        <v>3.5092452830188678</v>
      </c>
      <c r="P269">
        <f t="shared" si="33"/>
        <v>82.506368343217716</v>
      </c>
      <c r="Q269">
        <f t="shared" si="34"/>
        <v>87.09310376339586</v>
      </c>
      <c r="R269" t="e">
        <f t="shared" si="35"/>
        <v>#NUM!</v>
      </c>
    </row>
    <row r="270" spans="1:18">
      <c r="A270">
        <f t="shared" si="32"/>
        <v>932.38599999999997</v>
      </c>
      <c r="B270">
        <v>18074</v>
      </c>
      <c r="C270" s="1">
        <v>23</v>
      </c>
      <c r="D270" s="1"/>
      <c r="E270" s="1">
        <v>45</v>
      </c>
      <c r="F270" s="1"/>
      <c r="G270" s="1"/>
      <c r="H270" s="1"/>
      <c r="I270">
        <v>91.04</v>
      </c>
      <c r="J270">
        <v>-162.9</v>
      </c>
      <c r="N270" s="1"/>
      <c r="O270" s="1">
        <v>3.5</v>
      </c>
      <c r="P270">
        <f t="shared" si="33"/>
        <v>82.515613626236586</v>
      </c>
      <c r="Q270">
        <f t="shared" si="34"/>
        <v>88.345307181391604</v>
      </c>
      <c r="R270" t="e">
        <f t="shared" si="35"/>
        <v>#NUM!</v>
      </c>
    </row>
    <row r="271" spans="1:18">
      <c r="A271">
        <f t="shared" si="32"/>
        <v>932.88599999999997</v>
      </c>
      <c r="B271">
        <v>18568</v>
      </c>
      <c r="C271" s="1">
        <v>35</v>
      </c>
      <c r="D271" s="1"/>
      <c r="E271" s="1">
        <v>46</v>
      </c>
      <c r="F271" s="1"/>
      <c r="G271" s="1"/>
      <c r="H271" s="1"/>
      <c r="I271">
        <v>91.224999999999994</v>
      </c>
      <c r="J271">
        <v>150.61000000000001</v>
      </c>
      <c r="N271" s="1">
        <v>-0.16866335073725625</v>
      </c>
      <c r="O271" s="1">
        <v>3.5</v>
      </c>
      <c r="P271">
        <f t="shared" si="33"/>
        <v>86.3310811436275</v>
      </c>
      <c r="Q271">
        <f t="shared" si="34"/>
        <v>88.704876890253473</v>
      </c>
      <c r="R271" t="e">
        <f t="shared" si="35"/>
        <v>#NUM!</v>
      </c>
    </row>
    <row r="272" spans="1:18">
      <c r="A272">
        <f t="shared" si="32"/>
        <v>933.38599999999997</v>
      </c>
      <c r="B272">
        <v>19076</v>
      </c>
      <c r="C272" s="1">
        <v>42</v>
      </c>
      <c r="D272" s="1"/>
      <c r="E272" s="1">
        <v>39</v>
      </c>
      <c r="F272" s="1"/>
      <c r="G272" s="1"/>
      <c r="H272" s="1"/>
      <c r="I272">
        <v>90.537999999999997</v>
      </c>
      <c r="J272">
        <v>91.650999999999996</v>
      </c>
      <c r="N272" s="1">
        <v>-0.34066678597560685</v>
      </c>
      <c r="O272" s="1">
        <v>3.5227350427350426</v>
      </c>
      <c r="P272">
        <f t="shared" si="33"/>
        <v>88.063974457083305</v>
      </c>
      <c r="Q272">
        <f t="shared" si="34"/>
        <v>87.420280789655294</v>
      </c>
      <c r="R272" t="e">
        <f t="shared" si="35"/>
        <v>#NUM!</v>
      </c>
    </row>
    <row r="273" spans="1:18">
      <c r="A273">
        <f t="shared" si="32"/>
        <v>933.88599999999997</v>
      </c>
      <c r="B273">
        <v>19598</v>
      </c>
      <c r="C273" s="1">
        <v>43</v>
      </c>
      <c r="D273" s="1"/>
      <c r="E273" s="1">
        <v>40</v>
      </c>
      <c r="F273" s="1"/>
      <c r="G273" s="1"/>
      <c r="H273" s="1"/>
      <c r="I273">
        <v>89.593000000000004</v>
      </c>
      <c r="J273">
        <v>30.109000000000002</v>
      </c>
      <c r="N273" s="1">
        <v>-0.69524212518423834</v>
      </c>
      <c r="O273" s="1">
        <v>3.5673504273504273</v>
      </c>
      <c r="P273">
        <f t="shared" si="33"/>
        <v>88.578317715310277</v>
      </c>
      <c r="Q273">
        <f t="shared" si="34"/>
        <v>87.950148430277778</v>
      </c>
      <c r="R273" t="e">
        <f t="shared" si="35"/>
        <v>#NUM!</v>
      </c>
    </row>
    <row r="274" spans="1:18">
      <c r="A274">
        <f t="shared" si="32"/>
        <v>934.38599999999997</v>
      </c>
      <c r="B274">
        <v>20000</v>
      </c>
      <c r="C274" s="1">
        <v>33</v>
      </c>
      <c r="D274" s="1"/>
      <c r="E274" s="1">
        <v>38</v>
      </c>
      <c r="F274" s="1"/>
      <c r="G274" s="1"/>
      <c r="H274" s="1"/>
      <c r="I274">
        <v>88.861999999999995</v>
      </c>
      <c r="J274">
        <v>-8.92</v>
      </c>
      <c r="N274" s="1">
        <v>-1.0649102390645022</v>
      </c>
      <c r="O274" s="1">
        <v>3.6</v>
      </c>
      <c r="P274">
        <f t="shared" si="33"/>
        <v>86.616245942507007</v>
      </c>
      <c r="Q274">
        <f t="shared" si="34"/>
        <v>87.84163907728545</v>
      </c>
      <c r="R274" t="e">
        <f t="shared" si="35"/>
        <v>#NUM!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274"/>
  <sheetViews>
    <sheetView zoomScaleNormal="100" workbookViewId="0">
      <selection activeCell="P7" sqref="P7"/>
    </sheetView>
  </sheetViews>
  <sheetFormatPr baseColWidth="10" defaultRowHeight="15"/>
  <sheetData>
    <row r="1" spans="3:28">
      <c r="N1" t="s">
        <v>9</v>
      </c>
      <c r="O1" t="s">
        <v>24</v>
      </c>
      <c r="P1">
        <v>0.125</v>
      </c>
      <c r="Q1">
        <v>0.125</v>
      </c>
      <c r="R1">
        <v>0.125</v>
      </c>
      <c r="T1" t="s">
        <v>33</v>
      </c>
      <c r="U1" t="s">
        <v>35</v>
      </c>
      <c r="V1">
        <v>1.28</v>
      </c>
      <c r="W1">
        <v>1.28</v>
      </c>
    </row>
    <row r="2" spans="3:28">
      <c r="N2" t="s">
        <v>11</v>
      </c>
      <c r="O2" t="s">
        <v>10</v>
      </c>
      <c r="P2">
        <f t="shared" ref="P2:Q2" si="0">+P1*23</f>
        <v>2.875</v>
      </c>
      <c r="Q2">
        <f t="shared" si="0"/>
        <v>2.875</v>
      </c>
      <c r="R2">
        <f>+R1*23</f>
        <v>2.875</v>
      </c>
      <c r="T2" t="s">
        <v>32</v>
      </c>
      <c r="U2" t="s">
        <v>35</v>
      </c>
      <c r="V2">
        <v>1.35</v>
      </c>
      <c r="W2">
        <v>1.35</v>
      </c>
    </row>
    <row r="3" spans="3:28">
      <c r="N3" t="s">
        <v>12</v>
      </c>
      <c r="O3" t="s">
        <v>10</v>
      </c>
      <c r="P3" s="2">
        <f t="shared" ref="P3:Q3" si="1">2^0.5*2</f>
        <v>2.8284271247461903</v>
      </c>
      <c r="Q3" s="2">
        <f t="shared" si="1"/>
        <v>2.8284271247461903</v>
      </c>
      <c r="R3" s="2">
        <f>2^0.5*2</f>
        <v>2.8284271247461903</v>
      </c>
      <c r="T3" t="s">
        <v>34</v>
      </c>
      <c r="U3" t="s">
        <v>35</v>
      </c>
      <c r="V3">
        <v>1</v>
      </c>
      <c r="W3">
        <v>1</v>
      </c>
    </row>
    <row r="4" spans="3:28">
      <c r="N4" t="s">
        <v>13</v>
      </c>
      <c r="O4" t="s">
        <v>14</v>
      </c>
      <c r="P4" s="3">
        <f t="shared" ref="P4:Q4" si="2">20*LOG(P3/P2)</f>
        <v>-0.14185711059354938</v>
      </c>
      <c r="Q4" s="3">
        <f t="shared" si="2"/>
        <v>-0.14185711059354938</v>
      </c>
      <c r="R4" s="3">
        <f>20*LOG(R3/R2)</f>
        <v>-0.14185711059354938</v>
      </c>
      <c r="T4" t="s">
        <v>36</v>
      </c>
      <c r="U4" t="s">
        <v>35</v>
      </c>
      <c r="V4" s="4">
        <f>((V1-V2)^2+V3^2)^0.5</f>
        <v>1.0024470060806208</v>
      </c>
      <c r="W4" s="4">
        <f>((W1-W2)^2+W3^2)^0.5</f>
        <v>1.0024470060806208</v>
      </c>
    </row>
    <row r="5" spans="3:28">
      <c r="T5" t="s">
        <v>38</v>
      </c>
      <c r="U5" t="s">
        <v>37</v>
      </c>
      <c r="V5">
        <v>343</v>
      </c>
      <c r="W5">
        <v>343</v>
      </c>
    </row>
    <row r="6" spans="3:28">
      <c r="N6" t="s">
        <v>15</v>
      </c>
      <c r="O6" t="s">
        <v>14</v>
      </c>
      <c r="P6" s="1">
        <f t="shared" ref="P6:Q6" si="3">20*LOG(202)</f>
        <v>46.10702738893248</v>
      </c>
      <c r="Q6" s="1">
        <f t="shared" si="3"/>
        <v>46.10702738893248</v>
      </c>
      <c r="R6" s="1">
        <f>20*LOG(202)</f>
        <v>46.10702738893248</v>
      </c>
      <c r="T6" t="s">
        <v>39</v>
      </c>
      <c r="V6">
        <v>1</v>
      </c>
      <c r="W6">
        <v>1</v>
      </c>
    </row>
    <row r="7" spans="3:28">
      <c r="N7" t="s">
        <v>16</v>
      </c>
      <c r="O7" t="s">
        <v>14</v>
      </c>
      <c r="P7">
        <f>-14-2</f>
        <v>-16</v>
      </c>
      <c r="Q7">
        <v>-14</v>
      </c>
      <c r="R7">
        <v>-12</v>
      </c>
    </row>
    <row r="8" spans="3:28">
      <c r="N8" t="s">
        <v>17</v>
      </c>
      <c r="O8" t="s">
        <v>14</v>
      </c>
      <c r="P8" s="1">
        <f t="shared" ref="P8:Q8" si="4">+P6+P7</f>
        <v>30.10702738893248</v>
      </c>
      <c r="Q8" s="1">
        <f t="shared" si="4"/>
        <v>32.10702738893248</v>
      </c>
      <c r="R8" s="1">
        <f>+R6+R7</f>
        <v>34.10702738893248</v>
      </c>
    </row>
    <row r="9" spans="3:28">
      <c r="N9" t="s">
        <v>18</v>
      </c>
      <c r="O9" t="s">
        <v>19</v>
      </c>
      <c r="P9" s="1">
        <f t="shared" ref="P9:Q9" si="5">10^(P8/20)</f>
        <v>32.014842487714517</v>
      </c>
      <c r="Q9" s="1">
        <f t="shared" si="5"/>
        <v>40.304298762371403</v>
      </c>
      <c r="R9" s="1">
        <f>10^(R8/20)</f>
        <v>50.740105916493576</v>
      </c>
    </row>
    <row r="10" spans="3:28">
      <c r="N10" t="s">
        <v>21</v>
      </c>
      <c r="O10" t="s">
        <v>22</v>
      </c>
      <c r="P10">
        <v>1.4200000000000001E-2</v>
      </c>
      <c r="Q10">
        <v>1.4200000000000001E-2</v>
      </c>
      <c r="R10">
        <v>1.4200000000000001E-2</v>
      </c>
    </row>
    <row r="11" spans="3:28">
      <c r="O11" t="s">
        <v>20</v>
      </c>
      <c r="P11">
        <v>9</v>
      </c>
      <c r="Q11">
        <v>9</v>
      </c>
      <c r="R11">
        <v>9</v>
      </c>
    </row>
    <row r="12" spans="3:28">
      <c r="O12" t="s">
        <v>23</v>
      </c>
      <c r="P12" s="2">
        <f t="shared" ref="P12:Q12" si="6">1/(P11/P1*P9*P10)</f>
        <v>3.055116598491768E-2</v>
      </c>
      <c r="Q12" s="2">
        <f t="shared" si="6"/>
        <v>2.4267653745568173E-2</v>
      </c>
      <c r="R12" s="2">
        <f>1/(R11/R1*R9*R10)</f>
        <v>1.9276482560617262E-2</v>
      </c>
    </row>
    <row r="13" spans="3:28">
      <c r="N13" t="s">
        <v>28</v>
      </c>
      <c r="P13" t="s">
        <v>31</v>
      </c>
      <c r="Q13" t="s">
        <v>31</v>
      </c>
      <c r="R13" t="s">
        <v>31</v>
      </c>
    </row>
    <row r="14" spans="3:28">
      <c r="N14" t="s">
        <v>29</v>
      </c>
      <c r="O14" t="s">
        <v>30</v>
      </c>
      <c r="P14">
        <v>141.35400000000001</v>
      </c>
      <c r="Q14">
        <v>2429.7950000000001</v>
      </c>
    </row>
    <row r="16" spans="3:28">
      <c r="C16" t="s">
        <v>97</v>
      </c>
      <c r="D16" t="s">
        <v>0</v>
      </c>
      <c r="E16" t="s">
        <v>97</v>
      </c>
      <c r="F16" t="s">
        <v>0</v>
      </c>
      <c r="G16" t="s">
        <v>97</v>
      </c>
      <c r="H16" t="s">
        <v>0</v>
      </c>
      <c r="I16" t="s">
        <v>3</v>
      </c>
      <c r="J16" t="s">
        <v>0</v>
      </c>
      <c r="N16" t="s">
        <v>1</v>
      </c>
      <c r="O16" t="s">
        <v>2</v>
      </c>
      <c r="P16" t="s">
        <v>3</v>
      </c>
      <c r="Q16" t="s">
        <v>3</v>
      </c>
      <c r="R16" t="s">
        <v>3</v>
      </c>
      <c r="V16" t="s">
        <v>0</v>
      </c>
      <c r="W16" t="s">
        <v>0</v>
      </c>
      <c r="Z16" s="5"/>
      <c r="AB16" s="5"/>
    </row>
    <row r="17" spans="1:23">
      <c r="B17" t="s">
        <v>4</v>
      </c>
      <c r="C17" s="6" t="s">
        <v>26</v>
      </c>
      <c r="D17" t="str">
        <f>+C17</f>
        <v>FRS8-4 (1)</v>
      </c>
      <c r="E17" s="6" t="s">
        <v>27</v>
      </c>
      <c r="F17" t="str">
        <f>+E17</f>
        <v>FRS8-4 (2)</v>
      </c>
      <c r="G17" s="6"/>
      <c r="H17">
        <f>+G17</f>
        <v>0</v>
      </c>
      <c r="I17" s="6" t="s">
        <v>25</v>
      </c>
      <c r="J17" t="str">
        <f>+I17</f>
        <v>FRS8-4 soll</v>
      </c>
      <c r="P17" t="str">
        <f>+C17</f>
        <v>FRS8-4 (1)</v>
      </c>
      <c r="Q17" t="str">
        <f>+E17</f>
        <v>FRS8-4 (2)</v>
      </c>
      <c r="R17">
        <f>+G17</f>
        <v>0</v>
      </c>
      <c r="V17" t="str">
        <f>+C17</f>
        <v>FRS8-4 (1)</v>
      </c>
      <c r="W17" t="str">
        <f>+E17</f>
        <v>FRS8-4 (2)</v>
      </c>
    </row>
    <row r="18" spans="1:23">
      <c r="A18">
        <v>2429.7950000000001</v>
      </c>
      <c r="B18">
        <v>20</v>
      </c>
      <c r="I18">
        <v>45.612000000000002</v>
      </c>
      <c r="J18">
        <v>175.43</v>
      </c>
      <c r="N18" s="1"/>
      <c r="O18" s="1">
        <v>0</v>
      </c>
    </row>
    <row r="19" spans="1:23">
      <c r="A19">
        <f>+A18+0.5</f>
        <v>2430.2950000000001</v>
      </c>
      <c r="B19">
        <v>20.5</v>
      </c>
      <c r="I19">
        <v>46.087000000000003</v>
      </c>
      <c r="J19">
        <v>175.3</v>
      </c>
      <c r="N19" s="1"/>
      <c r="O19" s="1">
        <v>0</v>
      </c>
    </row>
    <row r="20" spans="1:23">
      <c r="A20">
        <f t="shared" ref="A20:A83" si="7">+A19+0.5</f>
        <v>2430.7950000000001</v>
      </c>
      <c r="B20">
        <v>21.1</v>
      </c>
      <c r="I20">
        <v>46.563000000000002</v>
      </c>
      <c r="J20">
        <v>175.16</v>
      </c>
      <c r="N20" s="1"/>
      <c r="O20" s="1">
        <v>0</v>
      </c>
    </row>
    <row r="21" spans="1:23">
      <c r="A21">
        <f t="shared" si="7"/>
        <v>2431.2950000000001</v>
      </c>
      <c r="B21">
        <v>21.6</v>
      </c>
      <c r="I21">
        <v>47.037999999999997</v>
      </c>
      <c r="J21">
        <v>175.02</v>
      </c>
      <c r="N21" s="1"/>
      <c r="O21" s="1">
        <v>0</v>
      </c>
    </row>
    <row r="22" spans="1:23">
      <c r="A22">
        <f t="shared" si="7"/>
        <v>2431.7950000000001</v>
      </c>
      <c r="B22">
        <v>22.2</v>
      </c>
      <c r="I22">
        <v>47.514000000000003</v>
      </c>
      <c r="J22">
        <v>174.88</v>
      </c>
      <c r="N22" s="1"/>
      <c r="O22" s="1">
        <v>0</v>
      </c>
    </row>
    <row r="23" spans="1:23">
      <c r="A23">
        <f t="shared" si="7"/>
        <v>2432.2950000000001</v>
      </c>
      <c r="B23">
        <v>22.9</v>
      </c>
      <c r="I23">
        <v>47.99</v>
      </c>
      <c r="J23">
        <v>174.73</v>
      </c>
      <c r="N23" s="1"/>
      <c r="O23" s="1">
        <v>0</v>
      </c>
    </row>
    <row r="24" spans="1:23">
      <c r="A24">
        <f t="shared" si="7"/>
        <v>2432.7950000000001</v>
      </c>
      <c r="B24">
        <v>23.5</v>
      </c>
      <c r="I24">
        <v>48.466999999999999</v>
      </c>
      <c r="J24">
        <v>174.58</v>
      </c>
      <c r="N24" s="1"/>
      <c r="O24" s="1">
        <v>0</v>
      </c>
    </row>
    <row r="25" spans="1:23">
      <c r="A25">
        <f t="shared" si="7"/>
        <v>2433.2950000000001</v>
      </c>
      <c r="B25">
        <v>24.1</v>
      </c>
      <c r="I25">
        <v>48.944000000000003</v>
      </c>
      <c r="J25">
        <v>174.42</v>
      </c>
      <c r="N25" s="1"/>
      <c r="O25" s="1">
        <v>0</v>
      </c>
    </row>
    <row r="26" spans="1:23">
      <c r="A26">
        <f t="shared" si="7"/>
        <v>2433.7950000000001</v>
      </c>
      <c r="B26">
        <v>24.8</v>
      </c>
      <c r="I26">
        <v>49.421999999999997</v>
      </c>
      <c r="J26">
        <v>174.25</v>
      </c>
      <c r="N26" s="1"/>
      <c r="O26" s="1">
        <v>0</v>
      </c>
    </row>
    <row r="27" spans="1:23">
      <c r="A27">
        <f t="shared" si="7"/>
        <v>2434.2950000000001</v>
      </c>
      <c r="B27">
        <v>25.5</v>
      </c>
      <c r="I27">
        <v>49.9</v>
      </c>
      <c r="J27">
        <v>174.08</v>
      </c>
      <c r="N27" s="1"/>
      <c r="O27" s="1">
        <v>0</v>
      </c>
    </row>
    <row r="28" spans="1:23">
      <c r="A28">
        <f t="shared" si="7"/>
        <v>2434.7950000000001</v>
      </c>
      <c r="B28">
        <v>26.2</v>
      </c>
      <c r="I28">
        <v>50.378999999999998</v>
      </c>
      <c r="J28">
        <v>173.91</v>
      </c>
      <c r="N28" s="1"/>
      <c r="O28" s="1">
        <v>0</v>
      </c>
    </row>
    <row r="29" spans="1:23">
      <c r="A29">
        <f t="shared" si="7"/>
        <v>2435.2950000000001</v>
      </c>
      <c r="B29">
        <v>26.9</v>
      </c>
      <c r="I29">
        <v>50.857999999999997</v>
      </c>
      <c r="J29">
        <v>173.73</v>
      </c>
      <c r="N29" s="1"/>
      <c r="O29" s="1">
        <v>0</v>
      </c>
    </row>
    <row r="30" spans="1:23">
      <c r="A30">
        <f t="shared" si="7"/>
        <v>2435.7950000000001</v>
      </c>
      <c r="B30">
        <v>27.6</v>
      </c>
      <c r="I30">
        <v>51.337000000000003</v>
      </c>
      <c r="J30">
        <v>173.54</v>
      </c>
      <c r="N30" s="1"/>
      <c r="O30" s="1">
        <v>0</v>
      </c>
    </row>
    <row r="31" spans="1:23">
      <c r="A31">
        <f t="shared" si="7"/>
        <v>2436.2950000000001</v>
      </c>
      <c r="B31">
        <v>28.4</v>
      </c>
      <c r="I31">
        <v>51.817999999999998</v>
      </c>
      <c r="J31">
        <v>173.35</v>
      </c>
      <c r="N31" s="1"/>
      <c r="O31" s="1">
        <v>0</v>
      </c>
    </row>
    <row r="32" spans="1:23">
      <c r="A32">
        <f t="shared" si="7"/>
        <v>2436.7950000000001</v>
      </c>
      <c r="B32">
        <v>29.2</v>
      </c>
      <c r="I32">
        <v>52.298000000000002</v>
      </c>
      <c r="J32">
        <v>173.15</v>
      </c>
      <c r="N32" s="1"/>
      <c r="O32" s="1">
        <v>0</v>
      </c>
    </row>
    <row r="33" spans="1:15">
      <c r="A33">
        <f t="shared" si="7"/>
        <v>2437.2950000000001</v>
      </c>
      <c r="B33">
        <v>30</v>
      </c>
      <c r="I33">
        <v>52.78</v>
      </c>
      <c r="J33">
        <v>172.94</v>
      </c>
      <c r="N33" s="1"/>
      <c r="O33" s="1">
        <v>0</v>
      </c>
    </row>
    <row r="34" spans="1:15">
      <c r="A34">
        <f t="shared" si="7"/>
        <v>2437.7950000000001</v>
      </c>
      <c r="B34">
        <v>30.8</v>
      </c>
      <c r="I34">
        <v>53.262</v>
      </c>
      <c r="J34">
        <v>172.72</v>
      </c>
      <c r="N34" s="1"/>
      <c r="O34" s="1">
        <v>0</v>
      </c>
    </row>
    <row r="35" spans="1:15">
      <c r="A35">
        <f t="shared" si="7"/>
        <v>2438.2950000000001</v>
      </c>
      <c r="B35">
        <v>31.6</v>
      </c>
      <c r="I35">
        <v>53.744999999999997</v>
      </c>
      <c r="J35">
        <v>172.5</v>
      </c>
      <c r="N35" s="1"/>
      <c r="O35" s="1">
        <v>0</v>
      </c>
    </row>
    <row r="36" spans="1:15">
      <c r="A36">
        <f t="shared" si="7"/>
        <v>2438.7950000000001</v>
      </c>
      <c r="B36">
        <v>32.5</v>
      </c>
      <c r="I36">
        <v>54.228000000000002</v>
      </c>
      <c r="J36">
        <v>172.27</v>
      </c>
      <c r="N36" s="1"/>
      <c r="O36" s="1">
        <v>0</v>
      </c>
    </row>
    <row r="37" spans="1:15">
      <c r="A37">
        <f t="shared" si="7"/>
        <v>2439.2950000000001</v>
      </c>
      <c r="B37">
        <v>33.4</v>
      </c>
      <c r="I37">
        <v>54.713000000000001</v>
      </c>
      <c r="J37">
        <v>172.03</v>
      </c>
      <c r="N37" s="1"/>
      <c r="O37" s="1">
        <v>0</v>
      </c>
    </row>
    <row r="38" spans="1:15">
      <c r="A38">
        <f t="shared" si="7"/>
        <v>2439.7950000000001</v>
      </c>
      <c r="B38">
        <v>34.299999999999997</v>
      </c>
      <c r="I38">
        <v>55.198</v>
      </c>
      <c r="J38">
        <v>171.78</v>
      </c>
      <c r="N38" s="1"/>
      <c r="O38" s="1">
        <v>0</v>
      </c>
    </row>
    <row r="39" spans="1:15">
      <c r="A39">
        <f t="shared" si="7"/>
        <v>2440.2950000000001</v>
      </c>
      <c r="B39">
        <v>35.200000000000003</v>
      </c>
      <c r="I39">
        <v>55.683999999999997</v>
      </c>
      <c r="J39">
        <v>171.52</v>
      </c>
      <c r="N39" s="1"/>
      <c r="O39" s="1">
        <v>0</v>
      </c>
    </row>
    <row r="40" spans="1:15">
      <c r="A40">
        <f t="shared" si="7"/>
        <v>2440.7950000000001</v>
      </c>
      <c r="B40">
        <v>36.200000000000003</v>
      </c>
      <c r="I40">
        <v>56.170999999999999</v>
      </c>
      <c r="J40">
        <v>171.26</v>
      </c>
      <c r="N40" s="1"/>
      <c r="O40" s="1">
        <v>0</v>
      </c>
    </row>
    <row r="41" spans="1:15">
      <c r="A41">
        <f t="shared" si="7"/>
        <v>2441.2950000000001</v>
      </c>
      <c r="B41">
        <v>37.200000000000003</v>
      </c>
      <c r="I41">
        <v>56.658000000000001</v>
      </c>
      <c r="J41">
        <v>170.98</v>
      </c>
      <c r="N41" s="1"/>
      <c r="O41" s="1">
        <v>0</v>
      </c>
    </row>
    <row r="42" spans="1:15">
      <c r="A42">
        <f t="shared" si="7"/>
        <v>2441.7950000000001</v>
      </c>
      <c r="B42">
        <v>38.200000000000003</v>
      </c>
      <c r="I42">
        <v>57.146999999999998</v>
      </c>
      <c r="J42">
        <v>170.69</v>
      </c>
      <c r="N42" s="1"/>
      <c r="O42" s="1">
        <v>0</v>
      </c>
    </row>
    <row r="43" spans="1:15">
      <c r="A43">
        <f t="shared" si="7"/>
        <v>2442.2950000000001</v>
      </c>
      <c r="B43">
        <v>39.299999999999997</v>
      </c>
      <c r="I43">
        <v>57.637</v>
      </c>
      <c r="J43">
        <v>170.39</v>
      </c>
      <c r="N43" s="1"/>
      <c r="O43" s="1">
        <v>0</v>
      </c>
    </row>
    <row r="44" spans="1:15">
      <c r="A44">
        <f t="shared" si="7"/>
        <v>2442.7950000000001</v>
      </c>
      <c r="B44">
        <v>40.299999999999997</v>
      </c>
      <c r="I44">
        <v>58.127000000000002</v>
      </c>
      <c r="J44">
        <v>170.08</v>
      </c>
      <c r="N44" s="1"/>
      <c r="O44" s="1">
        <v>0</v>
      </c>
    </row>
    <row r="45" spans="1:15">
      <c r="A45">
        <f t="shared" si="7"/>
        <v>2443.2950000000001</v>
      </c>
      <c r="B45">
        <v>41.4</v>
      </c>
      <c r="I45">
        <v>58.619</v>
      </c>
      <c r="J45">
        <v>169.75</v>
      </c>
      <c r="N45" s="1"/>
      <c r="O45" s="1">
        <v>0</v>
      </c>
    </row>
    <row r="46" spans="1:15">
      <c r="A46">
        <f t="shared" si="7"/>
        <v>2443.7950000000001</v>
      </c>
      <c r="B46">
        <v>42.6</v>
      </c>
      <c r="I46">
        <v>59.112000000000002</v>
      </c>
      <c r="J46">
        <v>169.42</v>
      </c>
      <c r="N46" s="1"/>
      <c r="O46" s="1">
        <v>0</v>
      </c>
    </row>
    <row r="47" spans="1:15">
      <c r="A47">
        <f t="shared" si="7"/>
        <v>2444.2950000000001</v>
      </c>
      <c r="B47">
        <v>43.7</v>
      </c>
      <c r="I47">
        <v>59.606000000000002</v>
      </c>
      <c r="J47">
        <v>169.06</v>
      </c>
      <c r="N47" s="1"/>
      <c r="O47" s="1">
        <v>0</v>
      </c>
    </row>
    <row r="48" spans="1:15">
      <c r="A48">
        <f t="shared" si="7"/>
        <v>2444.7950000000001</v>
      </c>
      <c r="B48">
        <v>44.9</v>
      </c>
      <c r="I48">
        <v>60.101999999999997</v>
      </c>
      <c r="J48">
        <v>168.7</v>
      </c>
      <c r="N48" s="1"/>
      <c r="O48" s="1">
        <v>0</v>
      </c>
    </row>
    <row r="49" spans="1:15">
      <c r="A49">
        <f t="shared" si="7"/>
        <v>2445.2950000000001</v>
      </c>
      <c r="B49">
        <v>46.2</v>
      </c>
      <c r="I49">
        <v>60.597999999999999</v>
      </c>
      <c r="J49">
        <v>168.32</v>
      </c>
      <c r="N49" s="1"/>
      <c r="O49" s="1">
        <v>0</v>
      </c>
    </row>
    <row r="50" spans="1:15">
      <c r="A50">
        <f t="shared" si="7"/>
        <v>2445.7950000000001</v>
      </c>
      <c r="B50">
        <v>47.4</v>
      </c>
      <c r="I50">
        <v>61.095999999999997</v>
      </c>
      <c r="J50">
        <v>167.92</v>
      </c>
      <c r="N50" s="1"/>
      <c r="O50" s="1">
        <v>0</v>
      </c>
    </row>
    <row r="51" spans="1:15">
      <c r="A51">
        <f t="shared" si="7"/>
        <v>2446.2950000000001</v>
      </c>
      <c r="B51">
        <v>48.7</v>
      </c>
      <c r="I51">
        <v>61.594999999999999</v>
      </c>
      <c r="J51">
        <v>167.5</v>
      </c>
      <c r="N51" s="1"/>
      <c r="O51" s="1">
        <v>0</v>
      </c>
    </row>
    <row r="52" spans="1:15">
      <c r="A52">
        <f t="shared" si="7"/>
        <v>2446.7950000000001</v>
      </c>
      <c r="B52">
        <v>50.1</v>
      </c>
      <c r="I52">
        <v>62.095999999999997</v>
      </c>
      <c r="J52">
        <v>167.06</v>
      </c>
      <c r="N52" s="1"/>
      <c r="O52" s="1">
        <v>0</v>
      </c>
    </row>
    <row r="53" spans="1:15">
      <c r="A53">
        <f t="shared" si="7"/>
        <v>2447.2950000000001</v>
      </c>
      <c r="B53">
        <v>51.4</v>
      </c>
      <c r="I53">
        <v>62.597999999999999</v>
      </c>
      <c r="J53">
        <v>166.61</v>
      </c>
      <c r="N53" s="1"/>
      <c r="O53" s="1">
        <v>0</v>
      </c>
    </row>
    <row r="54" spans="1:15">
      <c r="A54">
        <f t="shared" si="7"/>
        <v>2447.7950000000001</v>
      </c>
      <c r="B54">
        <v>52.8</v>
      </c>
      <c r="I54">
        <v>63.101999999999997</v>
      </c>
      <c r="J54">
        <v>166.13</v>
      </c>
      <c r="N54" s="1"/>
      <c r="O54" s="1">
        <v>0</v>
      </c>
    </row>
    <row r="55" spans="1:15">
      <c r="A55">
        <f t="shared" si="7"/>
        <v>2448.2950000000001</v>
      </c>
      <c r="B55">
        <v>54.3</v>
      </c>
      <c r="I55">
        <v>63.606999999999999</v>
      </c>
      <c r="J55">
        <v>165.64</v>
      </c>
      <c r="N55" s="1"/>
      <c r="O55" s="1">
        <v>0</v>
      </c>
    </row>
    <row r="56" spans="1:15">
      <c r="A56">
        <f t="shared" si="7"/>
        <v>2448.7950000000001</v>
      </c>
      <c r="B56">
        <v>55.8</v>
      </c>
      <c r="I56">
        <v>64.113</v>
      </c>
      <c r="J56">
        <v>165.12</v>
      </c>
      <c r="N56" s="1"/>
      <c r="O56" s="1">
        <v>0</v>
      </c>
    </row>
    <row r="57" spans="1:15">
      <c r="A57">
        <f t="shared" si="7"/>
        <v>2449.2950000000001</v>
      </c>
      <c r="B57">
        <v>57.3</v>
      </c>
      <c r="I57">
        <v>64.620999999999995</v>
      </c>
      <c r="J57">
        <v>164.57</v>
      </c>
      <c r="N57" s="1"/>
      <c r="O57" s="1">
        <v>0</v>
      </c>
    </row>
    <row r="58" spans="1:15">
      <c r="A58">
        <f t="shared" si="7"/>
        <v>2449.7950000000001</v>
      </c>
      <c r="B58">
        <v>58.9</v>
      </c>
      <c r="I58">
        <v>65.131</v>
      </c>
      <c r="J58">
        <v>164</v>
      </c>
      <c r="N58" s="1"/>
      <c r="O58" s="1">
        <v>0</v>
      </c>
    </row>
    <row r="59" spans="1:15">
      <c r="A59">
        <f t="shared" si="7"/>
        <v>2450.2950000000001</v>
      </c>
      <c r="B59">
        <v>60.5</v>
      </c>
      <c r="I59">
        <v>65.641999999999996</v>
      </c>
      <c r="J59">
        <v>163.4</v>
      </c>
      <c r="N59" s="1"/>
      <c r="O59" s="1">
        <v>0</v>
      </c>
    </row>
    <row r="60" spans="1:15">
      <c r="A60">
        <f t="shared" si="7"/>
        <v>2450.7950000000001</v>
      </c>
      <c r="B60">
        <v>62.1</v>
      </c>
      <c r="I60">
        <v>66.155000000000001</v>
      </c>
      <c r="J60">
        <v>162.77000000000001</v>
      </c>
      <c r="N60" s="1"/>
      <c r="O60" s="1">
        <v>0</v>
      </c>
    </row>
    <row r="61" spans="1:15">
      <c r="A61">
        <f t="shared" si="7"/>
        <v>2451.2950000000001</v>
      </c>
      <c r="B61">
        <v>63.8</v>
      </c>
      <c r="I61">
        <v>66.668999999999997</v>
      </c>
      <c r="J61">
        <v>162.11000000000001</v>
      </c>
      <c r="N61" s="1"/>
      <c r="O61" s="1">
        <v>0</v>
      </c>
    </row>
    <row r="62" spans="1:15">
      <c r="A62">
        <f t="shared" si="7"/>
        <v>2451.7950000000001</v>
      </c>
      <c r="B62">
        <v>65.599999999999994</v>
      </c>
      <c r="I62">
        <v>67.185000000000002</v>
      </c>
      <c r="J62">
        <v>161.41</v>
      </c>
      <c r="N62" s="1"/>
      <c r="O62" s="1">
        <v>0</v>
      </c>
    </row>
    <row r="63" spans="1:15">
      <c r="A63">
        <f t="shared" si="7"/>
        <v>2452.2950000000001</v>
      </c>
      <c r="B63">
        <v>67.400000000000006</v>
      </c>
      <c r="I63">
        <v>67.703000000000003</v>
      </c>
      <c r="J63">
        <v>160.68</v>
      </c>
      <c r="N63" s="1"/>
      <c r="O63" s="1">
        <v>0</v>
      </c>
    </row>
    <row r="64" spans="1:15">
      <c r="A64">
        <f t="shared" si="7"/>
        <v>2452.7950000000001</v>
      </c>
      <c r="B64">
        <v>69.2</v>
      </c>
      <c r="I64">
        <v>68.221999999999994</v>
      </c>
      <c r="J64">
        <v>159.91</v>
      </c>
      <c r="N64" s="1"/>
      <c r="O64" s="1">
        <v>0</v>
      </c>
    </row>
    <row r="65" spans="1:15">
      <c r="A65">
        <f t="shared" si="7"/>
        <v>2453.2950000000001</v>
      </c>
      <c r="B65">
        <v>71.099999999999994</v>
      </c>
      <c r="I65">
        <v>68.742000000000004</v>
      </c>
      <c r="J65">
        <v>159.11000000000001</v>
      </c>
      <c r="N65" s="1"/>
      <c r="O65" s="1">
        <v>0</v>
      </c>
    </row>
    <row r="66" spans="1:15">
      <c r="A66">
        <f t="shared" si="7"/>
        <v>2453.7950000000001</v>
      </c>
      <c r="B66">
        <v>73.099999999999994</v>
      </c>
      <c r="I66">
        <v>69.263999999999996</v>
      </c>
      <c r="J66">
        <v>158.26</v>
      </c>
      <c r="N66" s="1"/>
      <c r="O66" s="1">
        <v>0</v>
      </c>
    </row>
    <row r="67" spans="1:15">
      <c r="A67">
        <f t="shared" si="7"/>
        <v>2454.2950000000001</v>
      </c>
      <c r="B67">
        <v>75.099999999999994</v>
      </c>
      <c r="I67">
        <v>69.786000000000001</v>
      </c>
      <c r="J67">
        <v>157.36000000000001</v>
      </c>
      <c r="N67" s="1"/>
      <c r="O67" s="1">
        <v>0</v>
      </c>
    </row>
    <row r="68" spans="1:15">
      <c r="A68">
        <f t="shared" si="7"/>
        <v>2454.7950000000001</v>
      </c>
      <c r="B68">
        <v>77.099999999999994</v>
      </c>
      <c r="I68">
        <v>70.31</v>
      </c>
      <c r="J68">
        <v>156.41999999999999</v>
      </c>
      <c r="N68" s="1"/>
      <c r="O68" s="1">
        <v>0</v>
      </c>
    </row>
    <row r="69" spans="1:15">
      <c r="A69">
        <f t="shared" si="7"/>
        <v>2455.2950000000001</v>
      </c>
      <c r="B69">
        <v>79.3</v>
      </c>
      <c r="I69">
        <v>70.834999999999994</v>
      </c>
      <c r="J69">
        <v>155.41999999999999</v>
      </c>
      <c r="N69" s="1"/>
      <c r="O69" s="1">
        <v>0</v>
      </c>
    </row>
    <row r="70" spans="1:15">
      <c r="A70">
        <f t="shared" si="7"/>
        <v>2455.7950000000001</v>
      </c>
      <c r="B70">
        <v>81.400000000000006</v>
      </c>
      <c r="I70">
        <v>71.36</v>
      </c>
      <c r="J70">
        <v>154.37</v>
      </c>
      <c r="N70" s="1"/>
      <c r="O70" s="1">
        <v>0</v>
      </c>
    </row>
    <row r="71" spans="1:15">
      <c r="A71">
        <f t="shared" si="7"/>
        <v>2456.2950000000001</v>
      </c>
      <c r="B71">
        <v>83.7</v>
      </c>
      <c r="I71">
        <v>71.885999999999996</v>
      </c>
      <c r="J71">
        <v>153.27000000000001</v>
      </c>
      <c r="N71" s="1"/>
      <c r="O71" s="1">
        <v>0</v>
      </c>
    </row>
    <row r="72" spans="1:15">
      <c r="A72">
        <f t="shared" si="7"/>
        <v>2456.7950000000001</v>
      </c>
      <c r="B72">
        <v>86</v>
      </c>
      <c r="I72">
        <v>72.412000000000006</v>
      </c>
      <c r="J72">
        <v>152.1</v>
      </c>
      <c r="N72" s="1"/>
      <c r="O72" s="1">
        <v>0</v>
      </c>
    </row>
    <row r="73" spans="1:15">
      <c r="A73">
        <f t="shared" si="7"/>
        <v>2457.2950000000001</v>
      </c>
      <c r="B73">
        <v>88.3</v>
      </c>
      <c r="I73">
        <v>72.936999999999998</v>
      </c>
      <c r="J73">
        <v>150.88</v>
      </c>
      <c r="N73" s="1"/>
      <c r="O73" s="1">
        <v>0</v>
      </c>
    </row>
    <row r="74" spans="1:15">
      <c r="A74">
        <f t="shared" si="7"/>
        <v>2457.7950000000001</v>
      </c>
      <c r="B74">
        <v>90.7</v>
      </c>
      <c r="I74">
        <v>73.462000000000003</v>
      </c>
      <c r="J74">
        <v>149.58000000000001</v>
      </c>
      <c r="N74" s="1"/>
      <c r="O74" s="1">
        <v>0</v>
      </c>
    </row>
    <row r="75" spans="1:15">
      <c r="A75">
        <f t="shared" si="7"/>
        <v>2458.2950000000001</v>
      </c>
      <c r="B75">
        <v>93.2</v>
      </c>
      <c r="I75">
        <v>73.984999999999999</v>
      </c>
      <c r="J75">
        <v>148.22</v>
      </c>
      <c r="N75" s="1"/>
      <c r="O75" s="1">
        <v>0</v>
      </c>
    </row>
    <row r="76" spans="1:15">
      <c r="A76">
        <f t="shared" si="7"/>
        <v>2458.7950000000001</v>
      </c>
      <c r="B76">
        <v>95.8</v>
      </c>
      <c r="I76">
        <v>74.506</v>
      </c>
      <c r="J76">
        <v>146.78</v>
      </c>
      <c r="N76" s="1"/>
      <c r="O76" s="1">
        <v>0</v>
      </c>
    </row>
    <row r="77" spans="1:15">
      <c r="A77">
        <f t="shared" si="7"/>
        <v>2459.2950000000001</v>
      </c>
      <c r="B77">
        <v>98.4</v>
      </c>
      <c r="I77">
        <v>75.025000000000006</v>
      </c>
      <c r="J77">
        <v>145.27000000000001</v>
      </c>
      <c r="N77" s="1"/>
      <c r="O77" s="1">
        <v>0</v>
      </c>
    </row>
    <row r="78" spans="1:15">
      <c r="A78">
        <f t="shared" si="7"/>
        <v>2459.7950000000001</v>
      </c>
      <c r="B78">
        <v>101.1</v>
      </c>
      <c r="I78">
        <v>75.540000000000006</v>
      </c>
      <c r="J78">
        <v>143.68</v>
      </c>
      <c r="N78" s="1"/>
      <c r="O78" s="1">
        <v>0</v>
      </c>
    </row>
    <row r="79" spans="1:15">
      <c r="A79">
        <f t="shared" si="7"/>
        <v>2460.2950000000001</v>
      </c>
      <c r="B79">
        <v>103.8</v>
      </c>
      <c r="I79">
        <v>76.052000000000007</v>
      </c>
      <c r="J79">
        <v>142</v>
      </c>
      <c r="N79" s="1"/>
      <c r="O79" s="1">
        <v>0</v>
      </c>
    </row>
    <row r="80" spans="1:15">
      <c r="A80">
        <f t="shared" si="7"/>
        <v>2460.7950000000001</v>
      </c>
      <c r="B80">
        <v>106.7</v>
      </c>
      <c r="I80">
        <v>76.558000000000007</v>
      </c>
      <c r="J80">
        <v>140.25</v>
      </c>
      <c r="N80" s="1"/>
      <c r="O80" s="1">
        <v>0</v>
      </c>
    </row>
    <row r="81" spans="1:15">
      <c r="A81">
        <f t="shared" si="7"/>
        <v>2461.2950000000001</v>
      </c>
      <c r="B81">
        <v>109.6</v>
      </c>
      <c r="I81">
        <v>77.058999999999997</v>
      </c>
      <c r="J81">
        <v>138.41</v>
      </c>
      <c r="N81" s="1"/>
      <c r="O81" s="1">
        <v>0</v>
      </c>
    </row>
    <row r="82" spans="1:15">
      <c r="A82">
        <f t="shared" si="7"/>
        <v>2461.7950000000001</v>
      </c>
      <c r="B82">
        <v>112.6</v>
      </c>
      <c r="I82">
        <v>77.552000000000007</v>
      </c>
      <c r="J82">
        <v>136.47999999999999</v>
      </c>
      <c r="N82" s="1"/>
      <c r="O82" s="1">
        <v>0</v>
      </c>
    </row>
    <row r="83" spans="1:15">
      <c r="A83">
        <f t="shared" si="7"/>
        <v>2462.2950000000001</v>
      </c>
      <c r="B83">
        <v>115.7</v>
      </c>
      <c r="I83">
        <v>78.037000000000006</v>
      </c>
      <c r="J83">
        <v>134.47</v>
      </c>
      <c r="N83" s="1"/>
      <c r="O83" s="1">
        <v>0</v>
      </c>
    </row>
    <row r="84" spans="1:15">
      <c r="A84">
        <f t="shared" ref="A84:A147" si="8">+A83+0.5</f>
        <v>2462.7950000000001</v>
      </c>
      <c r="B84">
        <v>118.9</v>
      </c>
      <c r="I84">
        <v>78.512</v>
      </c>
      <c r="J84">
        <v>132.37</v>
      </c>
      <c r="N84" s="1"/>
      <c r="O84" s="1">
        <v>0</v>
      </c>
    </row>
    <row r="85" spans="1:15">
      <c r="A85">
        <f t="shared" si="8"/>
        <v>2463.2950000000001</v>
      </c>
      <c r="B85">
        <v>122.1</v>
      </c>
      <c r="I85">
        <v>78.977000000000004</v>
      </c>
      <c r="J85">
        <v>130.19</v>
      </c>
      <c r="N85" s="1"/>
      <c r="O85" s="1">
        <v>0</v>
      </c>
    </row>
    <row r="86" spans="1:15">
      <c r="A86">
        <f t="shared" si="8"/>
        <v>2463.7950000000001</v>
      </c>
      <c r="B86">
        <v>125.5</v>
      </c>
      <c r="I86">
        <v>79.429000000000002</v>
      </c>
      <c r="J86">
        <v>127.93</v>
      </c>
      <c r="N86" s="1"/>
      <c r="O86" s="1">
        <v>0</v>
      </c>
    </row>
    <row r="87" spans="1:15">
      <c r="A87">
        <f t="shared" si="8"/>
        <v>2464.2950000000001</v>
      </c>
      <c r="B87">
        <v>128.9</v>
      </c>
      <c r="I87">
        <v>79.867999999999995</v>
      </c>
      <c r="J87">
        <v>125.59</v>
      </c>
      <c r="N87" s="1"/>
      <c r="O87" s="1">
        <v>0</v>
      </c>
    </row>
    <row r="88" spans="1:15">
      <c r="A88">
        <f t="shared" si="8"/>
        <v>2464.7950000000001</v>
      </c>
      <c r="B88">
        <v>132.4</v>
      </c>
      <c r="I88">
        <v>80.293000000000006</v>
      </c>
      <c r="J88">
        <v>123.18</v>
      </c>
      <c r="N88" s="1"/>
      <c r="O88" s="1">
        <v>0</v>
      </c>
    </row>
    <row r="89" spans="1:15">
      <c r="A89">
        <f t="shared" si="8"/>
        <v>2465.2950000000001</v>
      </c>
      <c r="B89">
        <v>136.1</v>
      </c>
      <c r="I89">
        <v>80.701999999999998</v>
      </c>
      <c r="J89">
        <v>120.71</v>
      </c>
      <c r="N89" s="1"/>
      <c r="O89" s="1">
        <v>0</v>
      </c>
    </row>
    <row r="90" spans="1:15">
      <c r="A90">
        <f t="shared" si="8"/>
        <v>2465.7950000000001</v>
      </c>
      <c r="B90">
        <v>139.80000000000001</v>
      </c>
      <c r="I90">
        <v>81.093999999999994</v>
      </c>
      <c r="J90">
        <v>118.18</v>
      </c>
      <c r="N90" s="1"/>
      <c r="O90" s="1">
        <v>0</v>
      </c>
    </row>
    <row r="91" spans="1:15">
      <c r="A91">
        <f t="shared" si="8"/>
        <v>2466.2950000000001</v>
      </c>
      <c r="B91">
        <v>143.6</v>
      </c>
      <c r="I91">
        <v>81.468999999999994</v>
      </c>
      <c r="J91">
        <v>115.6</v>
      </c>
      <c r="N91" s="1"/>
      <c r="O91" s="1">
        <v>0</v>
      </c>
    </row>
    <row r="92" spans="1:15">
      <c r="A92">
        <f t="shared" si="8"/>
        <v>2466.7950000000001</v>
      </c>
      <c r="B92">
        <v>147.6</v>
      </c>
      <c r="I92">
        <v>81.825000000000003</v>
      </c>
      <c r="J92">
        <v>112.98</v>
      </c>
      <c r="N92" s="1"/>
      <c r="O92" s="1">
        <v>0</v>
      </c>
    </row>
    <row r="93" spans="1:15">
      <c r="A93">
        <f t="shared" si="8"/>
        <v>2467.2950000000001</v>
      </c>
      <c r="B93">
        <v>151.6</v>
      </c>
      <c r="I93">
        <v>82.155000000000001</v>
      </c>
      <c r="J93">
        <v>110.33</v>
      </c>
      <c r="N93" s="1"/>
      <c r="O93" s="1">
        <v>0</v>
      </c>
    </row>
    <row r="94" spans="1:15">
      <c r="A94">
        <f t="shared" si="8"/>
        <v>2467.7950000000001</v>
      </c>
      <c r="B94">
        <v>155.69999999999999</v>
      </c>
      <c r="I94">
        <v>82.433000000000007</v>
      </c>
      <c r="J94">
        <v>107.64</v>
      </c>
      <c r="N94" s="1"/>
      <c r="O94" s="1">
        <v>0</v>
      </c>
    </row>
    <row r="95" spans="1:15">
      <c r="A95">
        <f t="shared" si="8"/>
        <v>2468.2950000000001</v>
      </c>
      <c r="B95">
        <v>160</v>
      </c>
      <c r="I95">
        <v>82.694999999999993</v>
      </c>
      <c r="J95">
        <v>104.95</v>
      </c>
      <c r="N95" s="1"/>
      <c r="O95" s="1">
        <v>0</v>
      </c>
    </row>
    <row r="96" spans="1:15">
      <c r="A96">
        <f t="shared" si="8"/>
        <v>2468.7950000000001</v>
      </c>
      <c r="B96">
        <v>164.4</v>
      </c>
      <c r="I96">
        <v>82.942999999999998</v>
      </c>
      <c r="J96">
        <v>102.25</v>
      </c>
      <c r="N96" s="1"/>
      <c r="O96" s="1">
        <v>0</v>
      </c>
    </row>
    <row r="97" spans="1:24">
      <c r="A97">
        <f t="shared" si="8"/>
        <v>2469.2950000000001</v>
      </c>
      <c r="B97">
        <v>168.9</v>
      </c>
      <c r="I97">
        <v>83.174999999999997</v>
      </c>
      <c r="J97">
        <v>99.563000000000002</v>
      </c>
      <c r="N97" s="1"/>
      <c r="O97" s="1">
        <v>0</v>
      </c>
    </row>
    <row r="98" spans="1:24">
      <c r="A98">
        <f t="shared" si="8"/>
        <v>2469.7950000000001</v>
      </c>
      <c r="B98">
        <v>173.5</v>
      </c>
      <c r="I98">
        <v>83.39</v>
      </c>
      <c r="J98">
        <v>96.933000000000007</v>
      </c>
      <c r="N98" s="1"/>
      <c r="O98" s="1">
        <v>0</v>
      </c>
    </row>
    <row r="99" spans="1:24">
      <c r="A99">
        <f t="shared" si="8"/>
        <v>2470.2950000000001</v>
      </c>
      <c r="B99">
        <v>178.3</v>
      </c>
      <c r="I99">
        <v>83.585999999999999</v>
      </c>
      <c r="J99">
        <v>94.350999999999999</v>
      </c>
      <c r="N99" s="1"/>
      <c r="O99" s="1">
        <v>0</v>
      </c>
    </row>
    <row r="100" spans="1:24">
      <c r="A100">
        <f t="shared" si="8"/>
        <v>2470.7950000000001</v>
      </c>
      <c r="B100">
        <v>183.2</v>
      </c>
      <c r="I100">
        <v>83.763000000000005</v>
      </c>
      <c r="J100">
        <v>91.816999999999993</v>
      </c>
      <c r="N100" s="1"/>
      <c r="O100" s="1">
        <v>0</v>
      </c>
    </row>
    <row r="101" spans="1:24">
      <c r="A101">
        <f t="shared" si="8"/>
        <v>2471.2950000000001</v>
      </c>
      <c r="B101">
        <v>188.2</v>
      </c>
      <c r="I101">
        <v>83.921000000000006</v>
      </c>
      <c r="J101">
        <v>89.355999999999995</v>
      </c>
      <c r="N101" s="1"/>
      <c r="O101" s="1">
        <v>0</v>
      </c>
    </row>
    <row r="102" spans="1:24">
      <c r="A102">
        <f t="shared" si="8"/>
        <v>2471.7950000000001</v>
      </c>
      <c r="B102">
        <v>193.3</v>
      </c>
      <c r="I102">
        <v>84.06</v>
      </c>
      <c r="J102">
        <v>86.935000000000002</v>
      </c>
      <c r="N102" s="1"/>
      <c r="O102" s="1">
        <v>0</v>
      </c>
    </row>
    <row r="103" spans="1:24">
      <c r="A103">
        <f t="shared" si="8"/>
        <v>2472.2950000000001</v>
      </c>
      <c r="B103">
        <v>198.6</v>
      </c>
      <c r="I103">
        <v>84.179000000000002</v>
      </c>
      <c r="J103">
        <v>84.597999999999999</v>
      </c>
      <c r="N103" s="1"/>
      <c r="O103" s="1">
        <v>0</v>
      </c>
    </row>
    <row r="104" spans="1:24">
      <c r="A104">
        <f t="shared" si="8"/>
        <v>2472.7950000000001</v>
      </c>
      <c r="B104">
        <v>204</v>
      </c>
      <c r="C104">
        <v>12.5</v>
      </c>
      <c r="D104">
        <v>50</v>
      </c>
      <c r="E104">
        <v>15.5</v>
      </c>
      <c r="F104">
        <v>50</v>
      </c>
      <c r="I104">
        <v>84.281999999999996</v>
      </c>
      <c r="J104">
        <v>82.313999999999993</v>
      </c>
      <c r="N104" s="1"/>
      <c r="O104" s="1">
        <v>0</v>
      </c>
      <c r="P104">
        <f>20*LOG(P$12*$C104/0.00002)-$N104-$O104+P$4</f>
        <v>85.476299031068962</v>
      </c>
      <c r="Q104">
        <f>20*LOG(Q$12*$E104/0.00002)-$N104-$O104+Q$4</f>
        <v>85.344732734313666</v>
      </c>
      <c r="R104" t="e">
        <f>20*LOG(R$12*$G104/0.00002)-$N104-$O104+R$4</f>
        <v>#NUM!</v>
      </c>
      <c r="V104">
        <f t="shared" ref="V104" si="9">(D104/360+V$4/V$5*$B104+0.5*V$6-INT(D104/360+V$4/V$5*$B104+0.5*V$6)+IF(D104/360+V$4/V$5*$B104+0.5*V$6-INT(D104/360+V$4/V$5*$B104+0.5*V$6)&gt;0.5,-1,0))*360</f>
        <v>84.634717570148041</v>
      </c>
      <c r="W104">
        <f>(F104/360+W$4/W$5*$B104+0.5*W$6-INT(F104/360+W$4/W$5*$B104+0.5*W$6)+IF(F104/360+W$4/W$5*$B104+0.5*W$6-INT(F104/360+W$4/W$5*$B104+0.5*W$6)&gt;0.5,-1,0))*360</f>
        <v>84.634717570148041</v>
      </c>
      <c r="X104" t="e">
        <f>(H104/360+X$4/X$5*$B104+0.5*X$6-INT(H104/360+X$4/X$5*$B104+0.5*X$6)+IF(H104/360+X$4/X$5*$B104+0.5*X$6-INT(H104/360+X$4/X$5*$B104+0.5*X$6)&gt;0.5,-1,0))*360</f>
        <v>#DIV/0!</v>
      </c>
    </row>
    <row r="105" spans="1:24">
      <c r="A105">
        <f t="shared" si="8"/>
        <v>2473.2950000000001</v>
      </c>
      <c r="B105">
        <v>209.6</v>
      </c>
      <c r="C105">
        <v>12.5</v>
      </c>
      <c r="D105">
        <v>42</v>
      </c>
      <c r="E105">
        <v>15.6</v>
      </c>
      <c r="F105">
        <v>43</v>
      </c>
      <c r="I105">
        <v>84.373999999999995</v>
      </c>
      <c r="J105">
        <v>80.156999999999996</v>
      </c>
      <c r="K105">
        <f>+F104-F105</f>
        <v>7</v>
      </c>
      <c r="N105" s="1"/>
      <c r="O105" s="1">
        <v>0</v>
      </c>
      <c r="P105">
        <f t="shared" ref="P105:P168" si="10">20*LOG(P$12*$C105/0.00002)-$N105-$O105+P$4</f>
        <v>85.476299031068962</v>
      </c>
      <c r="Q105">
        <f t="shared" ref="Q105:Q168" si="11">20*LOG(Q$12*$E105/0.00002)-$N105-$O105+Q$4</f>
        <v>85.400590737997078</v>
      </c>
      <c r="R105" t="e">
        <f t="shared" ref="R105:R168" si="12">20*LOG(R$12*$G105/0.00002)-$N105-$O105+R$4</f>
        <v>#NUM!</v>
      </c>
      <c r="V105">
        <f t="shared" ref="V105:V168" si="13">(D105/360+V$4/V$5*$B105+0.5*V$6-INT(D105/360+V$4/V$5*$B105+0.5*V$6)+IF(D105/360+V$4/V$5*$B105+0.5*V$6-INT(D105/360+V$4/V$5*$B105+0.5*V$6)&gt;0.5,-1,0))*360</f>
        <v>82.526650993642306</v>
      </c>
      <c r="W105">
        <f t="shared" ref="W105:W168" si="14">(F105/360+W$4/W$5*$B105+0.5*W$6-INT(F105/360+W$4/W$5*$B105+0.5*W$6)+IF(F105/360+W$4/W$5*$B105+0.5*W$6-INT(F105/360+W$4/W$5*$B105+0.5*W$6)&gt;0.5,-1,0))*360</f>
        <v>83.526650993642306</v>
      </c>
      <c r="X105" t="e">
        <f t="shared" ref="X105:X168" si="15">(H105/360+X$4/X$5*$B105+0.5*X$6-INT(H105/360+X$4/X$5*$B105+0.5*X$6)+IF(H105/360+X$4/X$5*$B105+0.5*X$6-INT(H105/360+X$4/X$5*$B105+0.5*X$6)&gt;0.5,-1,0))*360</f>
        <v>#DIV/0!</v>
      </c>
    </row>
    <row r="106" spans="1:24">
      <c r="A106">
        <f t="shared" si="8"/>
        <v>2473.7950000000001</v>
      </c>
      <c r="B106">
        <v>215.4</v>
      </c>
      <c r="C106">
        <v>12.5</v>
      </c>
      <c r="D106">
        <v>35</v>
      </c>
      <c r="E106">
        <v>15.8</v>
      </c>
      <c r="F106">
        <v>36</v>
      </c>
      <c r="I106">
        <v>84.462999999999994</v>
      </c>
      <c r="J106">
        <v>78.129000000000005</v>
      </c>
      <c r="K106">
        <f t="shared" ref="K106:K169" si="16">+F105-F106</f>
        <v>7</v>
      </c>
      <c r="N106" s="1"/>
      <c r="O106" s="1">
        <v>0</v>
      </c>
      <c r="P106">
        <f t="shared" si="10"/>
        <v>85.476299031068962</v>
      </c>
      <c r="Q106">
        <f t="shared" si="11"/>
        <v>85.511240509996298</v>
      </c>
      <c r="R106" t="e">
        <f t="shared" si="12"/>
        <v>#NUM!</v>
      </c>
      <c r="V106">
        <f t="shared" si="13"/>
        <v>81.629010610832765</v>
      </c>
      <c r="W106">
        <f t="shared" si="14"/>
        <v>82.629010610832765</v>
      </c>
      <c r="X106" t="e">
        <f t="shared" si="15"/>
        <v>#DIV/0!</v>
      </c>
    </row>
    <row r="107" spans="1:24">
      <c r="A107">
        <f t="shared" si="8"/>
        <v>2474.2950000000001</v>
      </c>
      <c r="B107">
        <v>221.2</v>
      </c>
      <c r="C107">
        <v>12.5</v>
      </c>
      <c r="D107">
        <v>27</v>
      </c>
      <c r="E107">
        <v>16</v>
      </c>
      <c r="F107">
        <v>29</v>
      </c>
      <c r="I107">
        <v>84.554000000000002</v>
      </c>
      <c r="J107">
        <v>76.027000000000001</v>
      </c>
      <c r="K107">
        <f t="shared" si="16"/>
        <v>7</v>
      </c>
      <c r="N107" s="1"/>
      <c r="O107" s="1">
        <v>0</v>
      </c>
      <c r="P107">
        <f t="shared" si="10"/>
        <v>85.476299031068962</v>
      </c>
      <c r="Q107">
        <f t="shared" si="11"/>
        <v>85.620498424026351</v>
      </c>
      <c r="R107" t="e">
        <f t="shared" si="12"/>
        <v>#NUM!</v>
      </c>
      <c r="V107">
        <f t="shared" si="13"/>
        <v>79.731370228023223</v>
      </c>
      <c r="W107">
        <f t="shared" si="14"/>
        <v>81.731370228023309</v>
      </c>
      <c r="X107" t="e">
        <f t="shared" si="15"/>
        <v>#DIV/0!</v>
      </c>
    </row>
    <row r="108" spans="1:24">
      <c r="A108">
        <f t="shared" si="8"/>
        <v>2474.7950000000001</v>
      </c>
      <c r="B108">
        <v>227.2</v>
      </c>
      <c r="C108">
        <v>12.8</v>
      </c>
      <c r="D108">
        <v>19</v>
      </c>
      <c r="E108">
        <v>16</v>
      </c>
      <c r="F108">
        <v>22</v>
      </c>
      <c r="I108">
        <v>84.646000000000001</v>
      </c>
      <c r="J108">
        <v>73.893000000000001</v>
      </c>
      <c r="K108">
        <f t="shared" si="16"/>
        <v>7</v>
      </c>
      <c r="N108" s="1"/>
      <c r="O108" s="1">
        <v>0</v>
      </c>
      <c r="P108">
        <f t="shared" si="10"/>
        <v>85.682298163865212</v>
      </c>
      <c r="Q108">
        <f t="shared" si="11"/>
        <v>85.620498424026351</v>
      </c>
      <c r="R108" t="e">
        <f t="shared" si="12"/>
        <v>#NUM!</v>
      </c>
      <c r="V108">
        <f t="shared" si="13"/>
        <v>78.044156038909961</v>
      </c>
      <c r="W108">
        <f t="shared" si="14"/>
        <v>81.044156038909961</v>
      </c>
      <c r="X108" t="e">
        <f t="shared" si="15"/>
        <v>#DIV/0!</v>
      </c>
    </row>
    <row r="109" spans="1:24">
      <c r="A109">
        <f t="shared" si="8"/>
        <v>2475.2950000000001</v>
      </c>
      <c r="B109">
        <v>233.4</v>
      </c>
      <c r="C109">
        <v>13.2</v>
      </c>
      <c r="D109">
        <v>10</v>
      </c>
      <c r="E109">
        <v>16.5</v>
      </c>
      <c r="F109">
        <v>15</v>
      </c>
      <c r="I109">
        <v>84.727999999999994</v>
      </c>
      <c r="J109">
        <v>71.905000000000001</v>
      </c>
      <c r="K109">
        <f t="shared" si="16"/>
        <v>7</v>
      </c>
      <c r="N109" s="1"/>
      <c r="O109" s="1">
        <v>0</v>
      </c>
      <c r="P109">
        <f t="shared" si="10"/>
        <v>85.949577395024846</v>
      </c>
      <c r="Q109">
        <f t="shared" si="11"/>
        <v>85.887777655185971</v>
      </c>
      <c r="R109" t="e">
        <f t="shared" si="12"/>
        <v>#NUM!</v>
      </c>
      <c r="V109">
        <f t="shared" si="13"/>
        <v>75.567368043492976</v>
      </c>
      <c r="W109">
        <f t="shared" si="14"/>
        <v>80.567368043492962</v>
      </c>
      <c r="X109" t="e">
        <f t="shared" si="15"/>
        <v>#DIV/0!</v>
      </c>
    </row>
    <row r="110" spans="1:24">
      <c r="A110">
        <f t="shared" si="8"/>
        <v>2475.7950000000001</v>
      </c>
      <c r="B110">
        <v>239.8</v>
      </c>
      <c r="C110">
        <v>13.2</v>
      </c>
      <c r="D110">
        <v>2</v>
      </c>
      <c r="E110">
        <v>16.5</v>
      </c>
      <c r="F110">
        <v>8</v>
      </c>
      <c r="I110">
        <v>84.796000000000006</v>
      </c>
      <c r="J110">
        <v>70.182000000000002</v>
      </c>
      <c r="K110">
        <f t="shared" si="16"/>
        <v>7</v>
      </c>
      <c r="N110" s="1"/>
      <c r="O110" s="1">
        <v>0</v>
      </c>
      <c r="P110">
        <f t="shared" si="10"/>
        <v>85.949577395024846</v>
      </c>
      <c r="Q110">
        <f t="shared" si="11"/>
        <v>85.887777655185971</v>
      </c>
      <c r="R110" t="e">
        <f t="shared" si="12"/>
        <v>#NUM!</v>
      </c>
      <c r="V110">
        <f t="shared" si="13"/>
        <v>74.301006241772086</v>
      </c>
      <c r="W110">
        <f t="shared" si="14"/>
        <v>80.301006241772072</v>
      </c>
      <c r="X110" t="e">
        <f t="shared" si="15"/>
        <v>#DIV/0!</v>
      </c>
    </row>
    <row r="111" spans="1:24">
      <c r="A111">
        <f t="shared" si="8"/>
        <v>2476.2950000000001</v>
      </c>
      <c r="B111">
        <v>246.4</v>
      </c>
      <c r="C111">
        <v>13.5</v>
      </c>
      <c r="D111">
        <v>355</v>
      </c>
      <c r="E111">
        <v>17</v>
      </c>
      <c r="F111">
        <v>0</v>
      </c>
      <c r="I111">
        <v>84.863</v>
      </c>
      <c r="J111">
        <v>68.766999999999996</v>
      </c>
      <c r="K111">
        <f t="shared" si="16"/>
        <v>8</v>
      </c>
      <c r="N111" s="1"/>
      <c r="O111" s="1">
        <v>0</v>
      </c>
      <c r="P111">
        <f t="shared" si="10"/>
        <v>86.144774140807968</v>
      </c>
      <c r="Q111">
        <f t="shared" si="11"/>
        <v>86.147077198473326</v>
      </c>
      <c r="R111" t="e">
        <f t="shared" si="12"/>
        <v>#NUM!</v>
      </c>
      <c r="V111">
        <f t="shared" si="13"/>
        <v>74.245070633747474</v>
      </c>
      <c r="W111">
        <f t="shared" si="14"/>
        <v>79.24507063374746</v>
      </c>
      <c r="X111" t="e">
        <f t="shared" si="15"/>
        <v>#DIV/0!</v>
      </c>
    </row>
    <row r="112" spans="1:24">
      <c r="A112">
        <f t="shared" si="8"/>
        <v>2476.7950000000001</v>
      </c>
      <c r="B112">
        <v>253.2</v>
      </c>
      <c r="C112">
        <v>13.5</v>
      </c>
      <c r="D112">
        <v>345</v>
      </c>
      <c r="E112">
        <v>17.2</v>
      </c>
      <c r="F112">
        <v>351</v>
      </c>
      <c r="I112">
        <v>84.95</v>
      </c>
      <c r="J112">
        <v>67.332999999999998</v>
      </c>
      <c r="K112">
        <f t="shared" si="16"/>
        <v>-351</v>
      </c>
      <c r="N112" s="1"/>
      <c r="O112" s="1">
        <v>0</v>
      </c>
      <c r="P112">
        <f t="shared" si="10"/>
        <v>86.144774140807968</v>
      </c>
      <c r="Q112">
        <f t="shared" si="11"/>
        <v>86.248667709058822</v>
      </c>
      <c r="R112" t="e">
        <f t="shared" si="12"/>
        <v>#NUM!</v>
      </c>
      <c r="V112">
        <f t="shared" si="13"/>
        <v>71.399561219419141</v>
      </c>
      <c r="W112">
        <f t="shared" si="14"/>
        <v>77.399561219419127</v>
      </c>
      <c r="X112" t="e">
        <f t="shared" si="15"/>
        <v>#DIV/0!</v>
      </c>
    </row>
    <row r="113" spans="1:24">
      <c r="A113">
        <f t="shared" si="8"/>
        <v>2477.2950000000001</v>
      </c>
      <c r="B113">
        <v>260.2</v>
      </c>
      <c r="C113">
        <v>13.5</v>
      </c>
      <c r="D113">
        <v>335</v>
      </c>
      <c r="E113">
        <v>17.399999999999999</v>
      </c>
      <c r="F113">
        <v>341</v>
      </c>
      <c r="I113">
        <v>85.061999999999998</v>
      </c>
      <c r="J113">
        <v>65.453000000000003</v>
      </c>
      <c r="K113">
        <f t="shared" si="16"/>
        <v>10</v>
      </c>
      <c r="N113" s="1"/>
      <c r="O113" s="1">
        <v>0</v>
      </c>
      <c r="P113">
        <f t="shared" si="10"/>
        <v>86.144774140807968</v>
      </c>
      <c r="Q113">
        <f t="shared" si="11"/>
        <v>86.349083736559834</v>
      </c>
      <c r="R113" t="e">
        <f t="shared" si="12"/>
        <v>#NUM!</v>
      </c>
      <c r="V113">
        <f t="shared" si="13"/>
        <v>68.764477998786916</v>
      </c>
      <c r="W113">
        <f t="shared" si="14"/>
        <v>74.764477998786901</v>
      </c>
      <c r="X113" t="e">
        <f t="shared" si="15"/>
        <v>#DIV/0!</v>
      </c>
    </row>
    <row r="114" spans="1:24">
      <c r="A114">
        <f t="shared" si="8"/>
        <v>2477.7950000000001</v>
      </c>
      <c r="B114">
        <v>267.39999999999998</v>
      </c>
      <c r="C114">
        <v>13.8</v>
      </c>
      <c r="D114">
        <v>325</v>
      </c>
      <c r="E114">
        <v>17.7</v>
      </c>
      <c r="F114">
        <v>329</v>
      </c>
      <c r="I114">
        <v>85.17</v>
      </c>
      <c r="J114">
        <v>63.289000000000001</v>
      </c>
      <c r="K114">
        <f t="shared" si="16"/>
        <v>12</v>
      </c>
      <c r="N114" s="1"/>
      <c r="O114" s="1">
        <v>0</v>
      </c>
      <c r="P114">
        <f t="shared" si="10"/>
        <v>86.335680498932575</v>
      </c>
      <c r="Q114">
        <f t="shared" si="11"/>
        <v>86.497564098143982</v>
      </c>
      <c r="R114" t="e">
        <f t="shared" si="12"/>
        <v>#NUM!</v>
      </c>
      <c r="V114">
        <f t="shared" si="13"/>
        <v>66.339820971850969</v>
      </c>
      <c r="W114">
        <f t="shared" si="14"/>
        <v>70.339820971850955</v>
      </c>
      <c r="X114" t="e">
        <f t="shared" si="15"/>
        <v>#DIV/0!</v>
      </c>
    </row>
    <row r="115" spans="1:24">
      <c r="A115">
        <f t="shared" si="8"/>
        <v>2478.2950000000001</v>
      </c>
      <c r="B115">
        <v>274.60000000000002</v>
      </c>
      <c r="C115">
        <v>14</v>
      </c>
      <c r="D115">
        <v>315</v>
      </c>
      <c r="E115">
        <v>18</v>
      </c>
      <c r="F115">
        <v>316</v>
      </c>
      <c r="I115">
        <v>85.236000000000004</v>
      </c>
      <c r="J115">
        <v>61.122</v>
      </c>
      <c r="K115">
        <f t="shared" si="16"/>
        <v>13</v>
      </c>
      <c r="N115" s="1"/>
      <c r="O115" s="1">
        <v>0</v>
      </c>
      <c r="P115">
        <f t="shared" si="10"/>
        <v>86.4606594844726</v>
      </c>
      <c r="Q115">
        <f t="shared" si="11"/>
        <v>86.643548872973952</v>
      </c>
      <c r="R115" t="e">
        <f t="shared" si="12"/>
        <v>#NUM!</v>
      </c>
      <c r="V115">
        <f t="shared" si="13"/>
        <v>63.915163944915022</v>
      </c>
      <c r="W115">
        <f t="shared" si="14"/>
        <v>64.915163944915008</v>
      </c>
      <c r="X115" t="e">
        <f t="shared" si="15"/>
        <v>#DIV/0!</v>
      </c>
    </row>
    <row r="116" spans="1:24">
      <c r="A116">
        <f t="shared" si="8"/>
        <v>2478.7950000000001</v>
      </c>
      <c r="B116">
        <v>282.2</v>
      </c>
      <c r="C116">
        <v>14</v>
      </c>
      <c r="D116">
        <v>303</v>
      </c>
      <c r="E116">
        <v>18.2</v>
      </c>
      <c r="F116">
        <v>304</v>
      </c>
      <c r="I116">
        <v>85.251000000000005</v>
      </c>
      <c r="J116">
        <v>59.014000000000003</v>
      </c>
      <c r="K116">
        <f t="shared" si="16"/>
        <v>12</v>
      </c>
      <c r="N116" s="1"/>
      <c r="O116" s="1">
        <v>0</v>
      </c>
      <c r="P116">
        <f t="shared" si="10"/>
        <v>86.4606594844726</v>
      </c>
      <c r="Q116">
        <f t="shared" si="11"/>
        <v>86.739526530609339</v>
      </c>
      <c r="R116" t="e">
        <f t="shared" si="12"/>
        <v>#NUM!</v>
      </c>
      <c r="V116">
        <f t="shared" si="13"/>
        <v>59.911359305371462</v>
      </c>
      <c r="W116">
        <f t="shared" si="14"/>
        <v>60.911359305371455</v>
      </c>
      <c r="X116" t="e">
        <f t="shared" si="15"/>
        <v>#DIV/0!</v>
      </c>
    </row>
    <row r="117" spans="1:24">
      <c r="A117">
        <f t="shared" si="8"/>
        <v>2479.2950000000001</v>
      </c>
      <c r="B117">
        <v>289.8</v>
      </c>
      <c r="C117">
        <v>14.5</v>
      </c>
      <c r="D117">
        <v>290</v>
      </c>
      <c r="E117">
        <v>18.5</v>
      </c>
      <c r="F117">
        <v>294</v>
      </c>
      <c r="I117">
        <v>85.241</v>
      </c>
      <c r="J117">
        <v>57.499000000000002</v>
      </c>
      <c r="K117">
        <f>+F116-F117</f>
        <v>10</v>
      </c>
      <c r="N117" s="1"/>
      <c r="O117" s="1">
        <v>0</v>
      </c>
      <c r="P117">
        <f t="shared" si="10"/>
        <v>86.765458815607346</v>
      </c>
      <c r="Q117">
        <f t="shared" si="11"/>
        <v>86.881533338968126</v>
      </c>
      <c r="R117" t="e">
        <f t="shared" si="12"/>
        <v>#NUM!</v>
      </c>
      <c r="V117">
        <f t="shared" si="13"/>
        <v>54.907554665828059</v>
      </c>
      <c r="W117">
        <f t="shared" si="14"/>
        <v>58.907554665828044</v>
      </c>
      <c r="X117" t="e">
        <f t="shared" si="15"/>
        <v>#DIV/0!</v>
      </c>
    </row>
    <row r="118" spans="1:24">
      <c r="A118">
        <f t="shared" si="8"/>
        <v>2479.7950000000001</v>
      </c>
      <c r="B118">
        <v>297.8</v>
      </c>
      <c r="C118">
        <v>15</v>
      </c>
      <c r="D118">
        <v>280</v>
      </c>
      <c r="E118">
        <v>18.5</v>
      </c>
      <c r="F118">
        <v>285</v>
      </c>
      <c r="I118">
        <v>85.230999999999995</v>
      </c>
      <c r="J118">
        <v>56.512999999999998</v>
      </c>
      <c r="K118">
        <f>+F117-F118</f>
        <v>9</v>
      </c>
      <c r="N118" s="1"/>
      <c r="O118" s="1">
        <v>0</v>
      </c>
      <c r="P118">
        <f t="shared" si="10"/>
        <v>87.059923952021464</v>
      </c>
      <c r="Q118">
        <f t="shared" si="11"/>
        <v>86.881533338968126</v>
      </c>
      <c r="R118" t="e">
        <f t="shared" si="12"/>
        <v>#NUM!</v>
      </c>
      <c r="V118">
        <f t="shared" si="13"/>
        <v>53.324602413676878</v>
      </c>
      <c r="W118">
        <f t="shared" si="14"/>
        <v>58.32460241367702</v>
      </c>
      <c r="X118" t="e">
        <f t="shared" si="15"/>
        <v>#DIV/0!</v>
      </c>
    </row>
    <row r="119" spans="1:24">
      <c r="A119">
        <f t="shared" si="8"/>
        <v>2480.2950000000001</v>
      </c>
      <c r="B119">
        <v>306</v>
      </c>
      <c r="C119">
        <v>14.5</v>
      </c>
      <c r="D119">
        <v>270</v>
      </c>
      <c r="E119">
        <v>18.5</v>
      </c>
      <c r="F119">
        <v>275</v>
      </c>
      <c r="I119">
        <v>85.238</v>
      </c>
      <c r="J119">
        <v>55.209000000000003</v>
      </c>
      <c r="K119">
        <f>+F118-F119</f>
        <v>10</v>
      </c>
      <c r="N119" s="1"/>
      <c r="O119" s="1">
        <v>-0.06</v>
      </c>
      <c r="P119">
        <f t="shared" si="10"/>
        <v>86.825458815607348</v>
      </c>
      <c r="Q119">
        <f t="shared" si="11"/>
        <v>86.941533338968128</v>
      </c>
      <c r="R119" t="e">
        <f t="shared" si="12"/>
        <v>#NUM!</v>
      </c>
      <c r="V119">
        <f t="shared" si="13"/>
        <v>51.952076355222125</v>
      </c>
      <c r="W119">
        <f t="shared" si="14"/>
        <v>56.952076355222104</v>
      </c>
      <c r="X119" t="e">
        <f t="shared" si="15"/>
        <v>#DIV/0!</v>
      </c>
    </row>
    <row r="120" spans="1:24">
      <c r="A120">
        <f t="shared" si="8"/>
        <v>2480.7950000000001</v>
      </c>
      <c r="B120">
        <v>314.39999999999998</v>
      </c>
      <c r="C120">
        <v>15</v>
      </c>
      <c r="D120">
        <v>260</v>
      </c>
      <c r="E120">
        <v>19</v>
      </c>
      <c r="F120">
        <v>265</v>
      </c>
      <c r="I120">
        <v>85.260999999999996</v>
      </c>
      <c r="J120">
        <v>53.838999999999999</v>
      </c>
      <c r="K120">
        <f t="shared" si="16"/>
        <v>10</v>
      </c>
      <c r="N120" s="1"/>
      <c r="O120" s="1">
        <v>-0.1</v>
      </c>
      <c r="P120">
        <f t="shared" si="10"/>
        <v>87.159923952021458</v>
      </c>
      <c r="Q120">
        <f t="shared" si="11"/>
        <v>87.213170789964423</v>
      </c>
      <c r="R120" t="e">
        <f t="shared" si="12"/>
        <v>#NUM!</v>
      </c>
      <c r="V120">
        <f t="shared" si="13"/>
        <v>50.789976490463488</v>
      </c>
      <c r="W120">
        <f t="shared" si="14"/>
        <v>55.789976490463467</v>
      </c>
      <c r="X120" t="e">
        <f t="shared" si="15"/>
        <v>#DIV/0!</v>
      </c>
    </row>
    <row r="121" spans="1:24">
      <c r="A121">
        <f t="shared" si="8"/>
        <v>2481.2950000000001</v>
      </c>
      <c r="B121">
        <v>323</v>
      </c>
      <c r="C121">
        <v>15</v>
      </c>
      <c r="D121">
        <v>250</v>
      </c>
      <c r="E121">
        <v>19</v>
      </c>
      <c r="F121">
        <v>255</v>
      </c>
      <c r="I121">
        <v>85.284000000000006</v>
      </c>
      <c r="J121">
        <v>52.747999999999998</v>
      </c>
      <c r="K121">
        <f t="shared" si="16"/>
        <v>10</v>
      </c>
      <c r="N121" s="1"/>
      <c r="O121" s="1">
        <v>-0.1</v>
      </c>
      <c r="P121">
        <f t="shared" si="10"/>
        <v>87.159923952021458</v>
      </c>
      <c r="Q121">
        <f t="shared" si="11"/>
        <v>87.213170789964423</v>
      </c>
      <c r="R121" t="e">
        <f t="shared" si="12"/>
        <v>#NUM!</v>
      </c>
      <c r="V121">
        <f t="shared" si="13"/>
        <v>49.838302819401115</v>
      </c>
      <c r="W121">
        <f t="shared" si="14"/>
        <v>54.838302819401093</v>
      </c>
      <c r="X121" t="e">
        <f t="shared" si="15"/>
        <v>#DIV/0!</v>
      </c>
    </row>
    <row r="122" spans="1:24">
      <c r="A122">
        <f t="shared" si="8"/>
        <v>2481.7950000000001</v>
      </c>
      <c r="B122">
        <v>331.8</v>
      </c>
      <c r="C122">
        <v>15.5</v>
      </c>
      <c r="D122">
        <v>240</v>
      </c>
      <c r="E122">
        <v>19</v>
      </c>
      <c r="F122">
        <f>180+19.5/27*90</f>
        <v>245</v>
      </c>
      <c r="I122">
        <v>85.298000000000002</v>
      </c>
      <c r="J122">
        <v>51.631</v>
      </c>
      <c r="K122">
        <f t="shared" si="16"/>
        <v>10</v>
      </c>
      <c r="N122" s="1"/>
      <c r="O122" s="1">
        <v>-0.1</v>
      </c>
      <c r="P122">
        <f t="shared" si="10"/>
        <v>87.444732734313675</v>
      </c>
      <c r="Q122">
        <f t="shared" si="11"/>
        <v>87.213170789964423</v>
      </c>
      <c r="R122" t="e">
        <f t="shared" si="12"/>
        <v>#NUM!</v>
      </c>
      <c r="V122">
        <f t="shared" si="13"/>
        <v>49.097055342034857</v>
      </c>
      <c r="W122">
        <f t="shared" si="14"/>
        <v>54.097055342034999</v>
      </c>
      <c r="X122" t="e">
        <f t="shared" si="15"/>
        <v>#DIV/0!</v>
      </c>
    </row>
    <row r="123" spans="1:24">
      <c r="A123">
        <f t="shared" si="8"/>
        <v>2482.2950000000001</v>
      </c>
      <c r="B123">
        <v>340.8</v>
      </c>
      <c r="C123">
        <v>15.5</v>
      </c>
      <c r="D123">
        <v>230</v>
      </c>
      <c r="E123">
        <v>19.5</v>
      </c>
      <c r="F123">
        <v>234</v>
      </c>
      <c r="I123">
        <v>85.302999999999997</v>
      </c>
      <c r="J123">
        <v>50.750999999999998</v>
      </c>
      <c r="K123">
        <f t="shared" si="16"/>
        <v>11</v>
      </c>
      <c r="N123" s="1"/>
      <c r="O123" s="1">
        <v>-0.1</v>
      </c>
      <c r="P123">
        <f t="shared" si="10"/>
        <v>87.444732734313675</v>
      </c>
      <c r="Q123">
        <f t="shared" si="11"/>
        <v>87.438790998158211</v>
      </c>
      <c r="R123" t="e">
        <f t="shared" si="12"/>
        <v>#NUM!</v>
      </c>
      <c r="V123">
        <f t="shared" si="13"/>
        <v>48.566234058365026</v>
      </c>
      <c r="W123">
        <f t="shared" si="14"/>
        <v>52.566234058365012</v>
      </c>
      <c r="X123" t="e">
        <f t="shared" si="15"/>
        <v>#DIV/0!</v>
      </c>
    </row>
    <row r="124" spans="1:24">
      <c r="A124">
        <f t="shared" si="8"/>
        <v>2482.7950000000001</v>
      </c>
      <c r="B124">
        <v>350.2</v>
      </c>
      <c r="C124">
        <v>15.5</v>
      </c>
      <c r="D124">
        <v>220</v>
      </c>
      <c r="E124">
        <v>19.8</v>
      </c>
      <c r="F124">
        <v>223</v>
      </c>
      <c r="I124">
        <v>85.313000000000002</v>
      </c>
      <c r="J124">
        <v>50.017000000000003</v>
      </c>
      <c r="K124">
        <f t="shared" si="16"/>
        <v>11</v>
      </c>
      <c r="N124" s="1"/>
      <c r="O124" s="1">
        <v>-0.1</v>
      </c>
      <c r="P124">
        <f t="shared" si="10"/>
        <v>87.444732734313675</v>
      </c>
      <c r="Q124">
        <f t="shared" si="11"/>
        <v>87.571402576138468</v>
      </c>
      <c r="R124" t="e">
        <f t="shared" si="12"/>
        <v>#NUM!</v>
      </c>
      <c r="V124">
        <f t="shared" si="13"/>
        <v>48.456265162087426</v>
      </c>
      <c r="W124">
        <f t="shared" si="14"/>
        <v>51.456265162087576</v>
      </c>
      <c r="X124" t="e">
        <f t="shared" si="15"/>
        <v>#DIV/0!</v>
      </c>
    </row>
    <row r="125" spans="1:24">
      <c r="A125">
        <f t="shared" si="8"/>
        <v>2483.2950000000001</v>
      </c>
      <c r="B125">
        <v>359.8</v>
      </c>
      <c r="C125">
        <v>15.5</v>
      </c>
      <c r="D125">
        <v>210</v>
      </c>
      <c r="E125">
        <v>20</v>
      </c>
      <c r="F125">
        <v>212</v>
      </c>
      <c r="I125">
        <v>85.346999999999994</v>
      </c>
      <c r="J125">
        <v>48.618000000000002</v>
      </c>
      <c r="K125">
        <f t="shared" si="16"/>
        <v>11</v>
      </c>
      <c r="N125" s="1"/>
      <c r="O125" s="1">
        <v>-0.1</v>
      </c>
      <c r="P125">
        <f t="shared" si="10"/>
        <v>87.444732734313675</v>
      </c>
      <c r="Q125">
        <f t="shared" si="11"/>
        <v>87.65869868418747</v>
      </c>
      <c r="R125" t="e">
        <f t="shared" si="12"/>
        <v>#NUM!</v>
      </c>
      <c r="V125">
        <f t="shared" si="13"/>
        <v>48.556722459506254</v>
      </c>
      <c r="W125">
        <f t="shared" si="14"/>
        <v>50.556722459506247</v>
      </c>
      <c r="X125" t="e">
        <f t="shared" si="15"/>
        <v>#DIV/0!</v>
      </c>
    </row>
    <row r="126" spans="1:24">
      <c r="A126">
        <f t="shared" si="8"/>
        <v>2483.7950000000001</v>
      </c>
      <c r="B126">
        <v>369.8</v>
      </c>
      <c r="C126">
        <v>15.5</v>
      </c>
      <c r="D126">
        <v>200</v>
      </c>
      <c r="E126">
        <v>20.2</v>
      </c>
      <c r="F126">
        <v>200</v>
      </c>
      <c r="I126">
        <v>85.387</v>
      </c>
      <c r="J126">
        <v>47.073999999999998</v>
      </c>
      <c r="K126">
        <f t="shared" si="16"/>
        <v>12</v>
      </c>
      <c r="N126" s="1"/>
      <c r="O126" s="1">
        <v>-0.1</v>
      </c>
      <c r="P126">
        <f t="shared" si="10"/>
        <v>87.444732734313675</v>
      </c>
      <c r="Q126">
        <f t="shared" si="11"/>
        <v>87.745126159840311</v>
      </c>
      <c r="R126" t="e">
        <f t="shared" si="12"/>
        <v>#NUM!</v>
      </c>
      <c r="V126">
        <f t="shared" si="13"/>
        <v>49.078032144317461</v>
      </c>
      <c r="W126">
        <f t="shared" si="14"/>
        <v>49.078032144317461</v>
      </c>
      <c r="X126" t="e">
        <f t="shared" si="15"/>
        <v>#DIV/0!</v>
      </c>
    </row>
    <row r="127" spans="1:24">
      <c r="A127">
        <f t="shared" si="8"/>
        <v>2484.2950000000001</v>
      </c>
      <c r="B127">
        <v>379.8</v>
      </c>
      <c r="C127">
        <v>15.5</v>
      </c>
      <c r="D127">
        <v>188</v>
      </c>
      <c r="E127">
        <v>20.6</v>
      </c>
      <c r="F127">
        <v>187</v>
      </c>
      <c r="I127">
        <v>85.399000000000001</v>
      </c>
      <c r="J127">
        <v>46.387999999999998</v>
      </c>
      <c r="K127">
        <f t="shared" si="16"/>
        <v>13</v>
      </c>
      <c r="N127" s="1"/>
      <c r="O127" s="1">
        <v>-0.1</v>
      </c>
      <c r="P127">
        <f t="shared" si="10"/>
        <v>87.444732734313675</v>
      </c>
      <c r="Q127">
        <f t="shared" si="11"/>
        <v>87.9154431782909</v>
      </c>
      <c r="R127" t="e">
        <f t="shared" si="12"/>
        <v>#NUM!</v>
      </c>
      <c r="V127">
        <f t="shared" si="13"/>
        <v>47.599341829128683</v>
      </c>
      <c r="W127">
        <f t="shared" si="14"/>
        <v>46.59934182912869</v>
      </c>
      <c r="X127" t="e">
        <f t="shared" si="15"/>
        <v>#DIV/0!</v>
      </c>
    </row>
    <row r="128" spans="1:24">
      <c r="A128">
        <f t="shared" si="8"/>
        <v>2484.7950000000001</v>
      </c>
      <c r="B128">
        <v>390.2</v>
      </c>
      <c r="C128">
        <v>16</v>
      </c>
      <c r="D128">
        <v>175</v>
      </c>
      <c r="E128">
        <v>20.7</v>
      </c>
      <c r="F128">
        <v>174</v>
      </c>
      <c r="I128">
        <v>85.375</v>
      </c>
      <c r="J128">
        <v>45.677</v>
      </c>
      <c r="K128">
        <f t="shared" si="16"/>
        <v>13</v>
      </c>
      <c r="N128" s="1"/>
      <c r="O128" s="1">
        <v>-0.1</v>
      </c>
      <c r="P128">
        <f t="shared" si="10"/>
        <v>87.720498424026331</v>
      </c>
      <c r="Q128">
        <f t="shared" si="11"/>
        <v>87.957505680046182</v>
      </c>
      <c r="R128" t="e">
        <f t="shared" si="12"/>
        <v>#NUM!</v>
      </c>
      <c r="V128">
        <f t="shared" si="13"/>
        <v>45.541503901332291</v>
      </c>
      <c r="W128">
        <f t="shared" si="14"/>
        <v>44.541503901332291</v>
      </c>
      <c r="X128" t="e">
        <f t="shared" si="15"/>
        <v>#DIV/0!</v>
      </c>
    </row>
    <row r="129" spans="1:24">
      <c r="A129">
        <f t="shared" si="8"/>
        <v>2485.2950000000001</v>
      </c>
      <c r="B129">
        <v>400.8</v>
      </c>
      <c r="C129">
        <v>16</v>
      </c>
      <c r="D129">
        <v>162</v>
      </c>
      <c r="E129">
        <v>20.7</v>
      </c>
      <c r="F129">
        <v>160</v>
      </c>
      <c r="I129">
        <v>85.352999999999994</v>
      </c>
      <c r="J129">
        <v>43.23</v>
      </c>
      <c r="K129">
        <f t="shared" si="16"/>
        <v>14</v>
      </c>
      <c r="N129" s="1"/>
      <c r="O129" s="1">
        <v>-0.1</v>
      </c>
      <c r="P129">
        <f t="shared" si="10"/>
        <v>87.720498424026331</v>
      </c>
      <c r="Q129">
        <f t="shared" si="11"/>
        <v>87.957505680046182</v>
      </c>
      <c r="R129" t="e">
        <f t="shared" si="12"/>
        <v>#NUM!</v>
      </c>
      <c r="V129">
        <f t="shared" si="13"/>
        <v>43.694092167232164</v>
      </c>
      <c r="W129">
        <f t="shared" si="14"/>
        <v>41.694092167232171</v>
      </c>
      <c r="X129" t="e">
        <f t="shared" si="15"/>
        <v>#DIV/0!</v>
      </c>
    </row>
    <row r="130" spans="1:24">
      <c r="A130">
        <f t="shared" si="8"/>
        <v>2485.7950000000001</v>
      </c>
      <c r="B130">
        <v>411.8</v>
      </c>
      <c r="C130">
        <v>16.2</v>
      </c>
      <c r="D130">
        <v>148</v>
      </c>
      <c r="E130">
        <v>20.9</v>
      </c>
      <c r="F130">
        <v>147</v>
      </c>
      <c r="I130">
        <v>85.36</v>
      </c>
      <c r="J130">
        <v>33.521999999999998</v>
      </c>
      <c r="K130">
        <f t="shared" si="16"/>
        <v>13</v>
      </c>
      <c r="N130" s="1"/>
      <c r="O130" s="1">
        <v>-0.1</v>
      </c>
      <c r="P130">
        <f t="shared" si="10"/>
        <v>87.82839906176045</v>
      </c>
      <c r="Q130">
        <f t="shared" si="11"/>
        <v>88.04102449312893</v>
      </c>
      <c r="R130" t="e">
        <f t="shared" si="12"/>
        <v>#NUM!</v>
      </c>
      <c r="V130">
        <f t="shared" si="13"/>
        <v>41.267532820524423</v>
      </c>
      <c r="W130">
        <f t="shared" si="14"/>
        <v>40.26753282052443</v>
      </c>
      <c r="X130" t="e">
        <f t="shared" si="15"/>
        <v>#DIV/0!</v>
      </c>
    </row>
    <row r="131" spans="1:24">
      <c r="A131">
        <f t="shared" si="8"/>
        <v>2486.2950000000001</v>
      </c>
      <c r="B131">
        <v>423</v>
      </c>
      <c r="C131">
        <v>16.5</v>
      </c>
      <c r="D131">
        <v>135</v>
      </c>
      <c r="E131">
        <v>21</v>
      </c>
      <c r="F131">
        <v>135</v>
      </c>
      <c r="I131">
        <v>85.361000000000004</v>
      </c>
      <c r="J131">
        <v>23.108000000000001</v>
      </c>
      <c r="K131">
        <f t="shared" si="16"/>
        <v>12</v>
      </c>
      <c r="N131" s="1"/>
      <c r="O131" s="1">
        <v>-0.115</v>
      </c>
      <c r="P131">
        <f t="shared" si="10"/>
        <v>88.002777655185966</v>
      </c>
      <c r="Q131">
        <f t="shared" si="11"/>
        <v>88.097484665586236</v>
      </c>
      <c r="R131" t="e">
        <f t="shared" si="12"/>
        <v>#NUM!</v>
      </c>
      <c r="V131">
        <f t="shared" si="13"/>
        <v>40.051399667512797</v>
      </c>
      <c r="W131">
        <f t="shared" si="14"/>
        <v>40.051399667512797</v>
      </c>
      <c r="X131" t="e">
        <f t="shared" si="15"/>
        <v>#DIV/0!</v>
      </c>
    </row>
    <row r="132" spans="1:24">
      <c r="A132">
        <f t="shared" si="8"/>
        <v>2486.7950000000001</v>
      </c>
      <c r="B132">
        <v>434.8</v>
      </c>
      <c r="C132">
        <v>16.600000000000001</v>
      </c>
      <c r="D132">
        <v>120</v>
      </c>
      <c r="E132">
        <v>21</v>
      </c>
      <c r="F132">
        <v>123</v>
      </c>
      <c r="I132">
        <v>85.373999999999995</v>
      </c>
      <c r="J132">
        <v>24.058</v>
      </c>
      <c r="K132">
        <f t="shared" si="16"/>
        <v>12</v>
      </c>
      <c r="N132" s="1"/>
      <c r="O132" s="1">
        <v>-0.17400000000000004</v>
      </c>
      <c r="P132">
        <f t="shared" si="10"/>
        <v>88.11426053170895</v>
      </c>
      <c r="Q132">
        <f t="shared" si="11"/>
        <v>88.156484665586248</v>
      </c>
      <c r="R132" t="e">
        <f t="shared" si="12"/>
        <v>#NUM!</v>
      </c>
      <c r="V132">
        <f t="shared" si="13"/>
        <v>37.466545095590149</v>
      </c>
      <c r="W132">
        <f t="shared" si="14"/>
        <v>40.466545095590135</v>
      </c>
      <c r="X132" t="e">
        <f t="shared" si="15"/>
        <v>#DIV/0!</v>
      </c>
    </row>
    <row r="133" spans="1:24">
      <c r="A133">
        <f t="shared" si="8"/>
        <v>2487.2950000000001</v>
      </c>
      <c r="B133">
        <v>446.6</v>
      </c>
      <c r="C133">
        <v>16.7</v>
      </c>
      <c r="D133">
        <v>105</v>
      </c>
      <c r="E133">
        <v>21</v>
      </c>
      <c r="F133">
        <v>110</v>
      </c>
      <c r="I133">
        <v>85.292000000000002</v>
      </c>
      <c r="J133">
        <v>30.08</v>
      </c>
      <c r="K133">
        <f t="shared" si="16"/>
        <v>13</v>
      </c>
      <c r="N133" s="1"/>
      <c r="O133" s="1">
        <v>-0.2</v>
      </c>
      <c r="P133">
        <f t="shared" si="10"/>
        <v>88.192428193859513</v>
      </c>
      <c r="Q133">
        <f t="shared" si="11"/>
        <v>88.182484665586244</v>
      </c>
      <c r="R133" t="e">
        <f t="shared" si="12"/>
        <v>#NUM!</v>
      </c>
      <c r="V133">
        <f t="shared" si="13"/>
        <v>34.881690523667345</v>
      </c>
      <c r="W133">
        <f t="shared" si="14"/>
        <v>39.881690523667324</v>
      </c>
      <c r="X133" t="e">
        <f t="shared" si="15"/>
        <v>#DIV/0!</v>
      </c>
    </row>
    <row r="134" spans="1:24">
      <c r="A134">
        <f t="shared" si="8"/>
        <v>2487.7950000000001</v>
      </c>
      <c r="B134">
        <v>458.8</v>
      </c>
      <c r="C134">
        <v>16.8</v>
      </c>
      <c r="D134">
        <v>90</v>
      </c>
      <c r="E134">
        <v>21</v>
      </c>
      <c r="F134">
        <v>96</v>
      </c>
      <c r="I134">
        <v>85.164000000000001</v>
      </c>
      <c r="J134">
        <v>33.606000000000002</v>
      </c>
      <c r="K134">
        <f t="shared" si="16"/>
        <v>14</v>
      </c>
      <c r="N134" s="1"/>
      <c r="O134" s="1">
        <v>-0.2</v>
      </c>
      <c r="P134">
        <f t="shared" si="10"/>
        <v>88.244284405425105</v>
      </c>
      <c r="Q134">
        <f t="shared" si="11"/>
        <v>88.182484665586244</v>
      </c>
      <c r="R134" t="e">
        <f t="shared" si="12"/>
        <v>#NUM!</v>
      </c>
      <c r="V134">
        <f t="shared" si="13"/>
        <v>32.717688339136913</v>
      </c>
      <c r="W134">
        <f t="shared" si="14"/>
        <v>38.717688339136899</v>
      </c>
      <c r="X134" t="e">
        <f t="shared" si="15"/>
        <v>#DIV/0!</v>
      </c>
    </row>
    <row r="135" spans="1:24">
      <c r="A135">
        <f t="shared" si="8"/>
        <v>2488.2950000000001</v>
      </c>
      <c r="B135">
        <v>471.4</v>
      </c>
      <c r="C135">
        <v>17</v>
      </c>
      <c r="D135">
        <v>75</v>
      </c>
      <c r="E135">
        <v>21.5</v>
      </c>
      <c r="F135">
        <v>80</v>
      </c>
      <c r="I135">
        <v>85.078000000000003</v>
      </c>
      <c r="J135">
        <v>33.848999999999997</v>
      </c>
      <c r="K135">
        <f t="shared" si="16"/>
        <v>16</v>
      </c>
      <c r="N135" s="1"/>
      <c r="O135" s="1">
        <v>-0.2</v>
      </c>
      <c r="P135">
        <f t="shared" si="10"/>
        <v>88.347077198473329</v>
      </c>
      <c r="Q135">
        <f t="shared" si="11"/>
        <v>88.386867969219949</v>
      </c>
      <c r="R135" t="e">
        <f t="shared" si="12"/>
        <v>#NUM!</v>
      </c>
      <c r="V135">
        <f t="shared" si="13"/>
        <v>30.974538541998875</v>
      </c>
      <c r="W135">
        <f t="shared" si="14"/>
        <v>35.974538541999017</v>
      </c>
      <c r="X135" t="e">
        <f t="shared" si="15"/>
        <v>#DIV/0!</v>
      </c>
    </row>
    <row r="136" spans="1:24">
      <c r="A136">
        <f t="shared" si="8"/>
        <v>2488.7950000000001</v>
      </c>
      <c r="B136">
        <v>484.2</v>
      </c>
      <c r="C136">
        <v>17.2</v>
      </c>
      <c r="D136">
        <v>60</v>
      </c>
      <c r="E136">
        <v>22</v>
      </c>
      <c r="F136">
        <v>64</v>
      </c>
      <c r="I136">
        <v>85.028000000000006</v>
      </c>
      <c r="J136">
        <v>31.596</v>
      </c>
      <c r="K136">
        <f t="shared" si="16"/>
        <v>16</v>
      </c>
      <c r="N136" s="1"/>
      <c r="O136" s="1">
        <v>-0.2</v>
      </c>
      <c r="P136">
        <f t="shared" si="10"/>
        <v>88.448667709058824</v>
      </c>
      <c r="Q136">
        <f t="shared" si="11"/>
        <v>88.586552387351972</v>
      </c>
      <c r="R136" t="e">
        <f t="shared" si="12"/>
        <v>#NUM!</v>
      </c>
      <c r="V136">
        <f t="shared" si="13"/>
        <v>29.441814938557265</v>
      </c>
      <c r="W136">
        <f t="shared" si="14"/>
        <v>33.441814938557251</v>
      </c>
      <c r="X136" t="e">
        <f t="shared" si="15"/>
        <v>#DIV/0!</v>
      </c>
    </row>
    <row r="137" spans="1:24">
      <c r="A137">
        <f t="shared" si="8"/>
        <v>2489.2950000000001</v>
      </c>
      <c r="B137">
        <v>497.6</v>
      </c>
      <c r="C137">
        <v>17.2</v>
      </c>
      <c r="D137">
        <v>45</v>
      </c>
      <c r="E137">
        <v>22</v>
      </c>
      <c r="F137">
        <v>48</v>
      </c>
      <c r="I137">
        <v>85.004999999999995</v>
      </c>
      <c r="J137">
        <v>29.079000000000001</v>
      </c>
      <c r="K137">
        <f t="shared" si="16"/>
        <v>16</v>
      </c>
      <c r="N137" s="1"/>
      <c r="O137" s="1">
        <v>-0.2</v>
      </c>
      <c r="P137">
        <f t="shared" si="10"/>
        <v>88.448667709058824</v>
      </c>
      <c r="Q137">
        <f t="shared" si="11"/>
        <v>88.586552387351972</v>
      </c>
      <c r="R137" t="e">
        <f t="shared" si="12"/>
        <v>#NUM!</v>
      </c>
      <c r="V137">
        <f t="shared" si="13"/>
        <v>28.540369916204309</v>
      </c>
      <c r="W137">
        <f t="shared" si="14"/>
        <v>31.540369916204298</v>
      </c>
      <c r="X137" t="e">
        <f t="shared" si="15"/>
        <v>#DIV/0!</v>
      </c>
    </row>
    <row r="138" spans="1:24">
      <c r="A138">
        <f t="shared" si="8"/>
        <v>2489.7950000000001</v>
      </c>
      <c r="B138">
        <v>511.2</v>
      </c>
      <c r="C138">
        <v>17.2</v>
      </c>
      <c r="D138">
        <v>30</v>
      </c>
      <c r="E138">
        <v>21.8</v>
      </c>
      <c r="F138">
        <v>32</v>
      </c>
      <c r="I138">
        <v>84.966999999999999</v>
      </c>
      <c r="J138">
        <v>27.88</v>
      </c>
      <c r="K138">
        <f t="shared" si="16"/>
        <v>16</v>
      </c>
      <c r="N138" s="1"/>
      <c r="O138" s="1">
        <v>-0.2</v>
      </c>
      <c r="P138">
        <f t="shared" si="10"/>
        <v>88.448667709058824</v>
      </c>
      <c r="Q138">
        <f t="shared" si="11"/>
        <v>88.507228642999948</v>
      </c>
      <c r="R138" t="e">
        <f t="shared" si="12"/>
        <v>#NUM!</v>
      </c>
      <c r="V138">
        <f t="shared" si="13"/>
        <v>27.849351087547465</v>
      </c>
      <c r="W138">
        <f t="shared" si="14"/>
        <v>29.849351087547458</v>
      </c>
      <c r="X138" t="e">
        <f t="shared" si="15"/>
        <v>#DIV/0!</v>
      </c>
    </row>
    <row r="139" spans="1:24">
      <c r="A139">
        <f t="shared" si="8"/>
        <v>2490.2950000000001</v>
      </c>
      <c r="B139">
        <v>525.20000000000005</v>
      </c>
      <c r="C139">
        <v>17.2</v>
      </c>
      <c r="D139">
        <v>15</v>
      </c>
      <c r="E139">
        <v>22</v>
      </c>
      <c r="F139">
        <v>15</v>
      </c>
      <c r="I139">
        <v>84.912000000000006</v>
      </c>
      <c r="J139">
        <v>26.468</v>
      </c>
      <c r="K139">
        <f t="shared" si="16"/>
        <v>17</v>
      </c>
      <c r="N139" s="1"/>
      <c r="O139" s="1">
        <v>-0.2</v>
      </c>
      <c r="P139">
        <f t="shared" si="10"/>
        <v>88.448667709058824</v>
      </c>
      <c r="Q139">
        <f t="shared" si="11"/>
        <v>88.586552387351972</v>
      </c>
      <c r="R139" t="e">
        <f t="shared" si="12"/>
        <v>#NUM!</v>
      </c>
      <c r="V139">
        <f t="shared" si="13"/>
        <v>27.579184646283323</v>
      </c>
      <c r="W139">
        <f t="shared" si="14"/>
        <v>27.579184646283323</v>
      </c>
      <c r="X139" t="e">
        <f t="shared" si="15"/>
        <v>#DIV/0!</v>
      </c>
    </row>
    <row r="140" spans="1:24">
      <c r="A140">
        <f t="shared" si="8"/>
        <v>2490.7950000000001</v>
      </c>
      <c r="B140">
        <v>539.6</v>
      </c>
      <c r="C140">
        <v>17.2</v>
      </c>
      <c r="D140">
        <v>0</v>
      </c>
      <c r="E140">
        <v>22</v>
      </c>
      <c r="F140">
        <v>358</v>
      </c>
      <c r="I140">
        <v>84.866</v>
      </c>
      <c r="J140">
        <v>24.433</v>
      </c>
      <c r="K140">
        <f t="shared" si="16"/>
        <v>-343</v>
      </c>
      <c r="N140" s="1"/>
      <c r="O140" s="1">
        <v>-0.2</v>
      </c>
      <c r="P140">
        <f t="shared" si="10"/>
        <v>88.448667709058824</v>
      </c>
      <c r="Q140">
        <f t="shared" si="11"/>
        <v>88.586552387351972</v>
      </c>
      <c r="R140" t="e">
        <f t="shared" si="12"/>
        <v>#NUM!</v>
      </c>
      <c r="V140">
        <f t="shared" si="13"/>
        <v>27.729870592411245</v>
      </c>
      <c r="W140">
        <f t="shared" si="14"/>
        <v>25.729870592411253</v>
      </c>
      <c r="X140" t="e">
        <f t="shared" si="15"/>
        <v>#DIV/0!</v>
      </c>
    </row>
    <row r="141" spans="1:24">
      <c r="A141">
        <f t="shared" si="8"/>
        <v>2491.2950000000001</v>
      </c>
      <c r="B141">
        <v>554.4</v>
      </c>
      <c r="C141">
        <v>17.2</v>
      </c>
      <c r="D141">
        <v>345</v>
      </c>
      <c r="E141">
        <v>21.8</v>
      </c>
      <c r="F141">
        <v>342</v>
      </c>
      <c r="I141">
        <v>84.835999999999999</v>
      </c>
      <c r="J141">
        <v>22.79</v>
      </c>
      <c r="K141">
        <f t="shared" si="16"/>
        <v>16</v>
      </c>
      <c r="N141" s="1"/>
      <c r="O141" s="1">
        <v>-0.2</v>
      </c>
      <c r="P141">
        <f t="shared" si="10"/>
        <v>88.448667709058824</v>
      </c>
      <c r="Q141">
        <f t="shared" si="11"/>
        <v>88.507228642999948</v>
      </c>
      <c r="R141" t="e">
        <f t="shared" si="12"/>
        <v>#NUM!</v>
      </c>
      <c r="V141">
        <f t="shared" si="13"/>
        <v>28.30140892593187</v>
      </c>
      <c r="W141">
        <f t="shared" si="14"/>
        <v>25.301408925931881</v>
      </c>
      <c r="X141" t="e">
        <f t="shared" si="15"/>
        <v>#DIV/0!</v>
      </c>
    </row>
    <row r="142" spans="1:24">
      <c r="A142">
        <f t="shared" si="8"/>
        <v>2491.7950000000001</v>
      </c>
      <c r="B142">
        <v>569.6</v>
      </c>
      <c r="C142">
        <v>17</v>
      </c>
      <c r="D142">
        <v>330</v>
      </c>
      <c r="E142">
        <v>22</v>
      </c>
      <c r="F142">
        <v>325</v>
      </c>
      <c r="I142">
        <v>84.850999999999999</v>
      </c>
      <c r="J142">
        <v>21.43</v>
      </c>
      <c r="K142">
        <f t="shared" si="16"/>
        <v>17</v>
      </c>
      <c r="N142" s="1"/>
      <c r="O142" s="1">
        <v>-0.2</v>
      </c>
      <c r="P142">
        <f t="shared" si="10"/>
        <v>88.347077198473329</v>
      </c>
      <c r="Q142">
        <f t="shared" si="11"/>
        <v>88.586552387351972</v>
      </c>
      <c r="R142" t="e">
        <f t="shared" si="12"/>
        <v>#NUM!</v>
      </c>
      <c r="V142">
        <f t="shared" si="13"/>
        <v>29.293799646844878</v>
      </c>
      <c r="W142">
        <f t="shared" si="14"/>
        <v>24.293799646844896</v>
      </c>
      <c r="X142" t="e">
        <f t="shared" si="15"/>
        <v>#DIV/0!</v>
      </c>
    </row>
    <row r="143" spans="1:24">
      <c r="A143">
        <f t="shared" si="8"/>
        <v>2492.2950000000001</v>
      </c>
      <c r="B143">
        <v>585</v>
      </c>
      <c r="C143">
        <v>17</v>
      </c>
      <c r="D143">
        <v>310</v>
      </c>
      <c r="E143">
        <v>22</v>
      </c>
      <c r="F143">
        <v>308</v>
      </c>
      <c r="I143">
        <v>84.951999999999998</v>
      </c>
      <c r="J143">
        <v>19.571999999999999</v>
      </c>
      <c r="K143">
        <f t="shared" si="16"/>
        <v>17</v>
      </c>
      <c r="N143" s="1"/>
      <c r="O143" s="1">
        <v>-0.2</v>
      </c>
      <c r="P143">
        <f t="shared" si="10"/>
        <v>88.347077198473329</v>
      </c>
      <c r="Q143">
        <f t="shared" si="11"/>
        <v>88.586552387351972</v>
      </c>
      <c r="R143" t="e">
        <f t="shared" si="12"/>
        <v>#NUM!</v>
      </c>
      <c r="V143">
        <f t="shared" si="13"/>
        <v>25.496616561454015</v>
      </c>
      <c r="W143">
        <f t="shared" si="14"/>
        <v>23.496616561454022</v>
      </c>
      <c r="X143" t="e">
        <f t="shared" si="15"/>
        <v>#DIV/0!</v>
      </c>
    </row>
    <row r="144" spans="1:24">
      <c r="A144">
        <f t="shared" si="8"/>
        <v>2492.7950000000001</v>
      </c>
      <c r="B144">
        <v>601</v>
      </c>
      <c r="C144">
        <v>16.8</v>
      </c>
      <c r="D144">
        <v>290</v>
      </c>
      <c r="E144">
        <v>21.8</v>
      </c>
      <c r="F144">
        <v>290</v>
      </c>
      <c r="I144">
        <v>85.153999999999996</v>
      </c>
      <c r="J144">
        <v>16.87</v>
      </c>
      <c r="K144">
        <f t="shared" si="16"/>
        <v>18</v>
      </c>
      <c r="N144" s="1"/>
      <c r="O144" s="1">
        <v>-0.19750000000000001</v>
      </c>
      <c r="P144">
        <f t="shared" si="10"/>
        <v>88.241784405425108</v>
      </c>
      <c r="Q144">
        <f t="shared" si="11"/>
        <v>88.50472864299995</v>
      </c>
      <c r="R144" t="e">
        <f t="shared" si="12"/>
        <v>#NUM!</v>
      </c>
      <c r="V144">
        <f t="shared" si="13"/>
        <v>22.330712057151967</v>
      </c>
      <c r="W144">
        <f t="shared" si="14"/>
        <v>22.330712057151967</v>
      </c>
      <c r="X144" t="e">
        <f t="shared" si="15"/>
        <v>#DIV/0!</v>
      </c>
    </row>
    <row r="145" spans="1:24">
      <c r="A145">
        <f t="shared" si="8"/>
        <v>2493.2950000000001</v>
      </c>
      <c r="B145">
        <v>617.6</v>
      </c>
      <c r="C145">
        <v>16.8</v>
      </c>
      <c r="D145">
        <v>270</v>
      </c>
      <c r="E145">
        <v>21.7</v>
      </c>
      <c r="F145">
        <v>270</v>
      </c>
      <c r="I145">
        <v>85.381</v>
      </c>
      <c r="J145">
        <v>14.49</v>
      </c>
      <c r="K145">
        <f t="shared" si="16"/>
        <v>20</v>
      </c>
      <c r="N145" s="1"/>
      <c r="O145" s="1">
        <v>-0.15599999999999994</v>
      </c>
      <c r="P145">
        <f t="shared" si="10"/>
        <v>88.200284405425109</v>
      </c>
      <c r="Q145">
        <f t="shared" si="11"/>
        <v>88.423293447878436</v>
      </c>
      <c r="R145" t="e">
        <f t="shared" si="12"/>
        <v>#NUM!</v>
      </c>
      <c r="V145">
        <f t="shared" si="13"/>
        <v>19.796086133938573</v>
      </c>
      <c r="W145">
        <f t="shared" si="14"/>
        <v>19.796086133938573</v>
      </c>
      <c r="X145" t="e">
        <f t="shared" si="15"/>
        <v>#DIV/0!</v>
      </c>
    </row>
    <row r="146" spans="1:24">
      <c r="A146">
        <f t="shared" si="8"/>
        <v>2493.7950000000001</v>
      </c>
      <c r="B146">
        <v>634.6</v>
      </c>
      <c r="C146">
        <v>16.7</v>
      </c>
      <c r="D146">
        <v>250</v>
      </c>
      <c r="E146">
        <v>21.5</v>
      </c>
      <c r="F146">
        <v>250</v>
      </c>
      <c r="I146">
        <v>85.5</v>
      </c>
      <c r="J146">
        <v>14.167999999999999</v>
      </c>
      <c r="K146">
        <f t="shared" si="16"/>
        <v>20</v>
      </c>
      <c r="N146" s="1"/>
      <c r="O146" s="1">
        <v>-0.11349999999999995</v>
      </c>
      <c r="P146">
        <f t="shared" si="10"/>
        <v>88.105928193859512</v>
      </c>
      <c r="Q146">
        <f t="shared" si="11"/>
        <v>88.300367969219948</v>
      </c>
      <c r="R146" t="e">
        <f t="shared" si="12"/>
        <v>#NUM!</v>
      </c>
      <c r="V146">
        <f t="shared" si="13"/>
        <v>17.682312598117562</v>
      </c>
      <c r="W146">
        <f t="shared" si="14"/>
        <v>17.682312598117562</v>
      </c>
      <c r="X146" t="e">
        <f t="shared" si="15"/>
        <v>#DIV/0!</v>
      </c>
    </row>
    <row r="147" spans="1:24">
      <c r="A147">
        <f t="shared" si="8"/>
        <v>2494.2950000000001</v>
      </c>
      <c r="B147">
        <v>652</v>
      </c>
      <c r="C147">
        <v>16.5</v>
      </c>
      <c r="D147">
        <v>230</v>
      </c>
      <c r="E147">
        <v>21.4</v>
      </c>
      <c r="F147">
        <v>230</v>
      </c>
      <c r="I147">
        <v>85.459000000000003</v>
      </c>
      <c r="J147">
        <v>14.111000000000001</v>
      </c>
      <c r="K147">
        <f t="shared" si="16"/>
        <v>20</v>
      </c>
      <c r="N147" s="1"/>
      <c r="O147" s="1">
        <v>-0.1</v>
      </c>
      <c r="P147">
        <f t="shared" si="10"/>
        <v>87.987777655185965</v>
      </c>
      <c r="Q147">
        <f t="shared" si="11"/>
        <v>88.246374237891658</v>
      </c>
      <c r="R147" t="e">
        <f t="shared" si="12"/>
        <v>#NUM!</v>
      </c>
      <c r="V147">
        <f t="shared" si="13"/>
        <v>15.989391449688934</v>
      </c>
      <c r="W147">
        <f t="shared" si="14"/>
        <v>15.989391449688934</v>
      </c>
      <c r="X147" t="e">
        <f t="shared" si="15"/>
        <v>#DIV/0!</v>
      </c>
    </row>
    <row r="148" spans="1:24">
      <c r="A148">
        <f t="shared" ref="A148:A211" si="17">+A147+0.5</f>
        <v>2494.7950000000001</v>
      </c>
      <c r="B148">
        <v>669.8</v>
      </c>
      <c r="C148">
        <v>16.2</v>
      </c>
      <c r="D148">
        <v>210</v>
      </c>
      <c r="E148">
        <v>21.2</v>
      </c>
      <c r="F148">
        <v>210</v>
      </c>
      <c r="I148">
        <v>85.325000000000003</v>
      </c>
      <c r="J148">
        <v>13.186</v>
      </c>
      <c r="K148">
        <f t="shared" si="16"/>
        <v>20</v>
      </c>
      <c r="N148" s="1"/>
      <c r="O148" s="1">
        <v>-0.1</v>
      </c>
      <c r="P148">
        <f t="shared" si="10"/>
        <v>87.82839906176045</v>
      </c>
      <c r="Q148">
        <f t="shared" si="11"/>
        <v>88.164815989482875</v>
      </c>
      <c r="R148" t="e">
        <f t="shared" si="12"/>
        <v>#NUM!</v>
      </c>
      <c r="V148">
        <f t="shared" si="13"/>
        <v>14.71732268865285</v>
      </c>
      <c r="W148">
        <f t="shared" si="14"/>
        <v>14.71732268865285</v>
      </c>
      <c r="X148" t="e">
        <f t="shared" si="15"/>
        <v>#DIV/0!</v>
      </c>
    </row>
    <row r="149" spans="1:24">
      <c r="A149">
        <f t="shared" si="17"/>
        <v>2495.2950000000001</v>
      </c>
      <c r="B149">
        <v>688</v>
      </c>
      <c r="C149">
        <v>16.2</v>
      </c>
      <c r="D149">
        <v>190</v>
      </c>
      <c r="E149">
        <v>21</v>
      </c>
      <c r="F149">
        <v>190</v>
      </c>
      <c r="I149">
        <v>85.201999999999998</v>
      </c>
      <c r="J149">
        <v>12.827999999999999</v>
      </c>
      <c r="K149">
        <f t="shared" si="16"/>
        <v>20</v>
      </c>
      <c r="N149" s="1"/>
      <c r="O149" s="1">
        <v>-0.08</v>
      </c>
      <c r="P149">
        <f t="shared" si="10"/>
        <v>87.808399061760454</v>
      </c>
      <c r="Q149">
        <f t="shared" si="11"/>
        <v>88.06248466558624</v>
      </c>
      <c r="R149" t="e">
        <f t="shared" si="12"/>
        <v>#NUM!</v>
      </c>
      <c r="V149">
        <f t="shared" si="13"/>
        <v>13.866106315009148</v>
      </c>
      <c r="W149">
        <f t="shared" si="14"/>
        <v>13.866106315009148</v>
      </c>
      <c r="X149" t="e">
        <f t="shared" si="15"/>
        <v>#DIV/0!</v>
      </c>
    </row>
    <row r="150" spans="1:24">
      <c r="A150">
        <f t="shared" si="17"/>
        <v>2495.7950000000001</v>
      </c>
      <c r="B150">
        <v>707</v>
      </c>
      <c r="C150">
        <v>16.2</v>
      </c>
      <c r="D150">
        <v>170</v>
      </c>
      <c r="E150">
        <v>21</v>
      </c>
      <c r="F150">
        <v>170</v>
      </c>
      <c r="I150">
        <v>85.143000000000001</v>
      </c>
      <c r="J150">
        <v>13.446</v>
      </c>
      <c r="K150">
        <f t="shared" si="16"/>
        <v>20</v>
      </c>
      <c r="N150" s="1"/>
      <c r="O150" s="1">
        <v>-3.2500000000000001E-2</v>
      </c>
      <c r="P150">
        <f t="shared" si="10"/>
        <v>87.760899061760455</v>
      </c>
      <c r="Q150">
        <f t="shared" si="11"/>
        <v>88.01498466558624</v>
      </c>
      <c r="R150" t="e">
        <f t="shared" si="12"/>
        <v>#NUM!</v>
      </c>
      <c r="V150">
        <f t="shared" si="13"/>
        <v>13.856594716150532</v>
      </c>
      <c r="W150">
        <f t="shared" si="14"/>
        <v>13.856594716150532</v>
      </c>
      <c r="X150" t="e">
        <f t="shared" si="15"/>
        <v>#DIV/0!</v>
      </c>
    </row>
    <row r="151" spans="1:24">
      <c r="A151">
        <f t="shared" si="17"/>
        <v>2496.2950000000001</v>
      </c>
      <c r="B151">
        <v>726.4</v>
      </c>
      <c r="C151">
        <v>16</v>
      </c>
      <c r="D151">
        <v>150</v>
      </c>
      <c r="E151">
        <v>21</v>
      </c>
      <c r="F151">
        <v>150</v>
      </c>
      <c r="I151">
        <v>85.126999999999995</v>
      </c>
      <c r="J151">
        <v>14.712</v>
      </c>
      <c r="K151">
        <f t="shared" si="16"/>
        <v>20</v>
      </c>
      <c r="N151" s="1"/>
      <c r="O151" s="1">
        <v>1.2799999999999957E-2</v>
      </c>
      <c r="P151">
        <f t="shared" si="10"/>
        <v>87.607698424026339</v>
      </c>
      <c r="Q151">
        <f t="shared" si="11"/>
        <v>87.969684665586243</v>
      </c>
      <c r="R151" t="e">
        <f t="shared" si="12"/>
        <v>#NUM!</v>
      </c>
      <c r="V151">
        <f t="shared" si="13"/>
        <v>14.26793550468398</v>
      </c>
      <c r="W151">
        <f t="shared" si="14"/>
        <v>14.26793550468398</v>
      </c>
      <c r="X151" t="e">
        <f t="shared" si="15"/>
        <v>#DIV/0!</v>
      </c>
    </row>
    <row r="152" spans="1:24">
      <c r="A152">
        <f t="shared" si="17"/>
        <v>2496.7950000000001</v>
      </c>
      <c r="B152">
        <v>746.2</v>
      </c>
      <c r="C152">
        <v>16</v>
      </c>
      <c r="D152">
        <v>130</v>
      </c>
      <c r="E152">
        <v>21</v>
      </c>
      <c r="F152">
        <v>130</v>
      </c>
      <c r="I152">
        <v>85.125</v>
      </c>
      <c r="J152">
        <v>16.992999999999999</v>
      </c>
      <c r="K152">
        <f t="shared" si="16"/>
        <v>20</v>
      </c>
      <c r="N152" s="1"/>
      <c r="O152" s="1">
        <v>5.2400000000000092E-2</v>
      </c>
      <c r="P152">
        <f t="shared" si="10"/>
        <v>87.568098424026331</v>
      </c>
      <c r="Q152">
        <f t="shared" si="11"/>
        <v>87.930084665586236</v>
      </c>
      <c r="R152" t="e">
        <f t="shared" si="12"/>
        <v>#NUM!</v>
      </c>
      <c r="V152">
        <f t="shared" si="13"/>
        <v>15.10012868061029</v>
      </c>
      <c r="W152">
        <f t="shared" si="14"/>
        <v>15.10012868061029</v>
      </c>
      <c r="X152" t="e">
        <f t="shared" si="15"/>
        <v>#DIV/0!</v>
      </c>
    </row>
    <row r="153" spans="1:24">
      <c r="A153">
        <f t="shared" si="17"/>
        <v>2497.2950000000001</v>
      </c>
      <c r="B153">
        <v>766.6</v>
      </c>
      <c r="C153">
        <v>16</v>
      </c>
      <c r="D153">
        <v>105</v>
      </c>
      <c r="E153">
        <v>21</v>
      </c>
      <c r="F153">
        <v>108</v>
      </c>
      <c r="I153">
        <v>85.186000000000007</v>
      </c>
      <c r="J153">
        <v>19.545999999999999</v>
      </c>
      <c r="K153">
        <f t="shared" si="16"/>
        <v>22</v>
      </c>
      <c r="N153" s="1"/>
      <c r="O153" s="1">
        <v>9.3200000000000061E-2</v>
      </c>
      <c r="P153">
        <f t="shared" si="10"/>
        <v>87.527298424026341</v>
      </c>
      <c r="Q153">
        <f t="shared" si="11"/>
        <v>87.889284665586246</v>
      </c>
      <c r="R153" t="e">
        <f t="shared" si="12"/>
        <v>#NUM!</v>
      </c>
      <c r="V153">
        <f t="shared" si="13"/>
        <v>11.563600437624952</v>
      </c>
      <c r="W153">
        <f t="shared" si="14"/>
        <v>14.563600437624942</v>
      </c>
      <c r="X153" t="e">
        <f t="shared" si="15"/>
        <v>#DIV/0!</v>
      </c>
    </row>
    <row r="154" spans="1:24">
      <c r="A154">
        <f t="shared" si="17"/>
        <v>2497.7950000000001</v>
      </c>
      <c r="B154">
        <v>787.6</v>
      </c>
      <c r="C154">
        <v>16</v>
      </c>
      <c r="D154">
        <v>80</v>
      </c>
      <c r="E154">
        <v>21</v>
      </c>
      <c r="F154">
        <v>85</v>
      </c>
      <c r="I154">
        <v>85.361999999999995</v>
      </c>
      <c r="J154">
        <v>19.917000000000002</v>
      </c>
      <c r="K154">
        <f t="shared" si="16"/>
        <v>23</v>
      </c>
      <c r="N154" s="1"/>
      <c r="O154" s="1">
        <v>0.1</v>
      </c>
      <c r="P154">
        <f t="shared" si="10"/>
        <v>87.520498424026343</v>
      </c>
      <c r="Q154">
        <f t="shared" si="11"/>
        <v>87.882484665586247</v>
      </c>
      <c r="R154" t="e">
        <f t="shared" si="12"/>
        <v>#NUM!</v>
      </c>
      <c r="V154">
        <f t="shared" si="13"/>
        <v>8.6583507757285894</v>
      </c>
      <c r="W154">
        <f t="shared" si="14"/>
        <v>13.658350775728572</v>
      </c>
      <c r="X154" t="e">
        <f t="shared" si="15"/>
        <v>#DIV/0!</v>
      </c>
    </row>
    <row r="155" spans="1:24">
      <c r="A155">
        <f t="shared" si="17"/>
        <v>2498.2950000000001</v>
      </c>
      <c r="B155">
        <v>809.2</v>
      </c>
      <c r="C155">
        <v>16.2</v>
      </c>
      <c r="D155">
        <v>60</v>
      </c>
      <c r="E155">
        <v>21</v>
      </c>
      <c r="F155">
        <v>62</v>
      </c>
      <c r="I155">
        <v>85.650999999999996</v>
      </c>
      <c r="J155">
        <v>18.047000000000001</v>
      </c>
      <c r="K155">
        <f t="shared" si="16"/>
        <v>23</v>
      </c>
      <c r="N155" s="1"/>
      <c r="O155" s="1">
        <v>0.1</v>
      </c>
      <c r="P155">
        <f t="shared" si="10"/>
        <v>87.628399061760462</v>
      </c>
      <c r="Q155">
        <f t="shared" si="11"/>
        <v>87.882484665586247</v>
      </c>
      <c r="R155" t="e">
        <f t="shared" si="12"/>
        <v>#NUM!</v>
      </c>
      <c r="V155">
        <f t="shared" si="13"/>
        <v>11.384379694920703</v>
      </c>
      <c r="W155">
        <f t="shared" si="14"/>
        <v>13.384379694920696</v>
      </c>
      <c r="X155" t="e">
        <f t="shared" si="15"/>
        <v>#DIV/0!</v>
      </c>
    </row>
    <row r="156" spans="1:24">
      <c r="A156">
        <f t="shared" si="17"/>
        <v>2498.7950000000001</v>
      </c>
      <c r="B156">
        <v>831.4</v>
      </c>
      <c r="C156">
        <v>16.3</v>
      </c>
      <c r="D156">
        <v>35</v>
      </c>
      <c r="E156">
        <v>21.2</v>
      </c>
      <c r="F156">
        <v>40</v>
      </c>
      <c r="I156">
        <v>86.034000000000006</v>
      </c>
      <c r="J156">
        <v>15.795999999999999</v>
      </c>
      <c r="K156">
        <f t="shared" si="16"/>
        <v>22</v>
      </c>
      <c r="N156" s="1"/>
      <c r="O156" s="1">
        <v>7.7200000000000046E-2</v>
      </c>
      <c r="P156">
        <f t="shared" si="10"/>
        <v>87.704650858986994</v>
      </c>
      <c r="Q156">
        <f t="shared" si="11"/>
        <v>87.987615989482876</v>
      </c>
      <c r="R156" t="e">
        <f t="shared" si="12"/>
        <v>#NUM!</v>
      </c>
      <c r="V156">
        <f t="shared" si="13"/>
        <v>9.7416871952014894</v>
      </c>
      <c r="W156">
        <f t="shared" si="14"/>
        <v>14.741687195201472</v>
      </c>
      <c r="X156" t="e">
        <f t="shared" si="15"/>
        <v>#DIV/0!</v>
      </c>
    </row>
    <row r="157" spans="1:24">
      <c r="A157">
        <f t="shared" si="17"/>
        <v>2499.2950000000001</v>
      </c>
      <c r="B157">
        <v>854</v>
      </c>
      <c r="C157">
        <v>16.5</v>
      </c>
      <c r="D157">
        <v>10</v>
      </c>
      <c r="E157">
        <v>21.5</v>
      </c>
      <c r="F157">
        <v>15</v>
      </c>
      <c r="I157">
        <v>86.46</v>
      </c>
      <c r="J157">
        <v>13.351000000000001</v>
      </c>
      <c r="K157">
        <f t="shared" si="16"/>
        <v>25</v>
      </c>
      <c r="N157" s="1"/>
      <c r="O157" s="1">
        <v>3.2000000000000001E-2</v>
      </c>
      <c r="P157">
        <f t="shared" si="10"/>
        <v>87.855777655185975</v>
      </c>
      <c r="Q157">
        <f t="shared" si="11"/>
        <v>88.15486796921995</v>
      </c>
      <c r="R157" t="e">
        <f t="shared" si="12"/>
        <v>#NUM!</v>
      </c>
      <c r="V157">
        <f t="shared" si="13"/>
        <v>8.5198470828748185</v>
      </c>
      <c r="W157">
        <f t="shared" si="14"/>
        <v>13.519847082874801</v>
      </c>
      <c r="X157" t="e">
        <f t="shared" si="15"/>
        <v>#DIV/0!</v>
      </c>
    </row>
    <row r="158" spans="1:24">
      <c r="A158">
        <f t="shared" si="17"/>
        <v>2499.7950000000001</v>
      </c>
      <c r="B158">
        <v>877.4</v>
      </c>
      <c r="C158">
        <v>17</v>
      </c>
      <c r="D158">
        <v>350</v>
      </c>
      <c r="E158">
        <v>21.8</v>
      </c>
      <c r="F158">
        <v>350</v>
      </c>
      <c r="I158">
        <v>86.843999999999994</v>
      </c>
      <c r="J158">
        <v>9.5563000000000002</v>
      </c>
      <c r="K158">
        <f t="shared" si="16"/>
        <v>-335</v>
      </c>
      <c r="N158" s="1"/>
      <c r="O158" s="1">
        <v>0</v>
      </c>
      <c r="P158">
        <f t="shared" si="10"/>
        <v>88.147077198473326</v>
      </c>
      <c r="Q158">
        <f t="shared" si="11"/>
        <v>88.307228642999945</v>
      </c>
      <c r="R158" t="e">
        <f t="shared" si="12"/>
        <v>#NUM!</v>
      </c>
      <c r="V158">
        <f t="shared" si="13"/>
        <v>13.139711745332896</v>
      </c>
      <c r="W158">
        <f t="shared" si="14"/>
        <v>13.139711745332896</v>
      </c>
      <c r="X158" t="e">
        <f t="shared" si="15"/>
        <v>#DIV/0!</v>
      </c>
    </row>
    <row r="159" spans="1:24">
      <c r="A159">
        <f t="shared" si="17"/>
        <v>2500.2950000000001</v>
      </c>
      <c r="B159">
        <v>901.6</v>
      </c>
      <c r="C159">
        <v>17.2</v>
      </c>
      <c r="D159">
        <v>325</v>
      </c>
      <c r="E159">
        <v>22.2</v>
      </c>
      <c r="F159">
        <v>323</v>
      </c>
      <c r="I159">
        <v>87.088999999999999</v>
      </c>
      <c r="J159">
        <v>4.4231999999999996</v>
      </c>
      <c r="K159">
        <f t="shared" si="16"/>
        <v>27</v>
      </c>
      <c r="N159" s="1"/>
      <c r="O159" s="1">
        <v>0</v>
      </c>
      <c r="P159">
        <f t="shared" si="10"/>
        <v>88.248667709058822</v>
      </c>
      <c r="Q159">
        <f t="shared" si="11"/>
        <v>88.465158259920628</v>
      </c>
      <c r="R159" t="e">
        <f t="shared" si="12"/>
        <v>#NUM!</v>
      </c>
      <c r="V159">
        <f t="shared" si="13"/>
        <v>13.601281182575917</v>
      </c>
      <c r="W159">
        <f t="shared" si="14"/>
        <v>11.601281182575924</v>
      </c>
      <c r="X159" t="e">
        <f t="shared" si="15"/>
        <v>#DIV/0!</v>
      </c>
    </row>
    <row r="160" spans="1:24">
      <c r="A160">
        <f t="shared" si="17"/>
        <v>2500.7950000000001</v>
      </c>
      <c r="B160">
        <v>926.2</v>
      </c>
      <c r="C160">
        <v>17.5</v>
      </c>
      <c r="D160">
        <v>295</v>
      </c>
      <c r="E160">
        <v>22.5</v>
      </c>
      <c r="F160">
        <v>295</v>
      </c>
      <c r="I160">
        <v>87.126000000000005</v>
      </c>
      <c r="J160">
        <v>0.35410000000000003</v>
      </c>
      <c r="K160">
        <f t="shared" si="16"/>
        <v>28</v>
      </c>
      <c r="N160" s="1"/>
      <c r="O160" s="1">
        <v>0</v>
      </c>
      <c r="P160">
        <f t="shared" si="10"/>
        <v>88.398859744633725</v>
      </c>
      <c r="Q160">
        <f t="shared" si="11"/>
        <v>88.581749133135105</v>
      </c>
      <c r="R160" t="e">
        <f t="shared" si="12"/>
        <v>#NUM!</v>
      </c>
      <c r="V160">
        <f t="shared" si="13"/>
        <v>9.483703007211659</v>
      </c>
      <c r="W160">
        <f t="shared" si="14"/>
        <v>9.483703007211659</v>
      </c>
      <c r="X160" t="e">
        <f t="shared" si="15"/>
        <v>#DIV/0!</v>
      </c>
    </row>
    <row r="161" spans="1:24">
      <c r="A161">
        <f t="shared" si="17"/>
        <v>2501.2950000000001</v>
      </c>
      <c r="B161">
        <v>951.4</v>
      </c>
      <c r="C161">
        <v>18</v>
      </c>
      <c r="D161">
        <v>265</v>
      </c>
      <c r="E161">
        <v>22.8</v>
      </c>
      <c r="F161">
        <v>265</v>
      </c>
      <c r="I161">
        <v>86.971999999999994</v>
      </c>
      <c r="J161">
        <v>-0.88900000000000001</v>
      </c>
      <c r="K161">
        <f t="shared" si="16"/>
        <v>30</v>
      </c>
      <c r="N161" s="1"/>
      <c r="O161" s="1">
        <v>0</v>
      </c>
      <c r="P161">
        <f t="shared" si="10"/>
        <v>88.643548872973966</v>
      </c>
      <c r="Q161">
        <f t="shared" si="11"/>
        <v>88.69679571091693</v>
      </c>
      <c r="R161" t="e">
        <f t="shared" si="12"/>
        <v>#NUM!</v>
      </c>
      <c r="V161">
        <f t="shared" si="13"/>
        <v>5.9974034129358955</v>
      </c>
      <c r="W161">
        <f t="shared" si="14"/>
        <v>5.9974034129358955</v>
      </c>
      <c r="X161" t="e">
        <f t="shared" si="15"/>
        <v>#DIV/0!</v>
      </c>
    </row>
    <row r="162" spans="1:24">
      <c r="A162">
        <f t="shared" si="17"/>
        <v>2501.7950000000001</v>
      </c>
      <c r="B162">
        <v>977.6</v>
      </c>
      <c r="C162">
        <v>18</v>
      </c>
      <c r="D162">
        <v>230</v>
      </c>
      <c r="E162">
        <v>23</v>
      </c>
      <c r="F162">
        <v>235</v>
      </c>
      <c r="I162">
        <v>86.725999999999999</v>
      </c>
      <c r="J162">
        <v>-2.7639999999999998</v>
      </c>
      <c r="K162">
        <f t="shared" si="16"/>
        <v>30</v>
      </c>
      <c r="N162" s="1"/>
      <c r="O162" s="1">
        <v>0</v>
      </c>
      <c r="P162">
        <f t="shared" si="10"/>
        <v>88.643548872973966</v>
      </c>
      <c r="Q162">
        <f t="shared" si="11"/>
        <v>88.772655491259712</v>
      </c>
      <c r="R162" t="e">
        <f t="shared" si="12"/>
        <v>#NUM!</v>
      </c>
      <c r="V162">
        <f t="shared" si="13"/>
        <v>-1.4367652128589725</v>
      </c>
      <c r="W162">
        <f t="shared" si="14"/>
        <v>3.5632347871411696</v>
      </c>
      <c r="X162" t="e">
        <f t="shared" si="15"/>
        <v>#DIV/0!</v>
      </c>
    </row>
    <row r="163" spans="1:24">
      <c r="A163">
        <f t="shared" si="17"/>
        <v>2502.2950000000001</v>
      </c>
      <c r="B163">
        <v>1004.4</v>
      </c>
      <c r="C163">
        <v>18.5</v>
      </c>
      <c r="D163">
        <v>200</v>
      </c>
      <c r="E163">
        <v>23.2</v>
      </c>
      <c r="F163">
        <v>205</v>
      </c>
      <c r="I163">
        <v>86.513000000000005</v>
      </c>
      <c r="J163">
        <v>-5.1269999999999998</v>
      </c>
      <c r="K163">
        <f t="shared" si="16"/>
        <v>30</v>
      </c>
      <c r="N163" s="1"/>
      <c r="O163" s="1">
        <v>0</v>
      </c>
      <c r="P163">
        <f t="shared" si="10"/>
        <v>88.881533338968111</v>
      </c>
      <c r="Q163">
        <f t="shared" si="11"/>
        <v>88.847858468725832</v>
      </c>
      <c r="R163" t="e">
        <f t="shared" si="12"/>
        <v>#NUM!</v>
      </c>
      <c r="V163">
        <f t="shared" si="13"/>
        <v>-3.2396552575652038</v>
      </c>
      <c r="W163">
        <f t="shared" si="14"/>
        <v>1.7603447424349383</v>
      </c>
      <c r="X163" t="e">
        <f t="shared" si="15"/>
        <v>#DIV/0!</v>
      </c>
    </row>
    <row r="164" spans="1:24">
      <c r="A164">
        <f t="shared" si="17"/>
        <v>2502.7950000000001</v>
      </c>
      <c r="B164">
        <v>1031.8</v>
      </c>
      <c r="C164">
        <v>18.5</v>
      </c>
      <c r="D164">
        <v>170</v>
      </c>
      <c r="E164">
        <v>23.6</v>
      </c>
      <c r="F164">
        <v>175</v>
      </c>
      <c r="I164">
        <v>86.421000000000006</v>
      </c>
      <c r="J164">
        <v>-5.7160000000000002</v>
      </c>
      <c r="K164">
        <f t="shared" si="16"/>
        <v>30</v>
      </c>
      <c r="N164" s="1"/>
      <c r="O164" s="1">
        <v>0</v>
      </c>
      <c r="P164">
        <f t="shared" si="10"/>
        <v>88.881533338968111</v>
      </c>
      <c r="Q164">
        <f t="shared" si="11"/>
        <v>88.99633883030998</v>
      </c>
      <c r="R164" t="e">
        <f t="shared" si="12"/>
        <v>#NUM!</v>
      </c>
      <c r="V164">
        <f t="shared" si="13"/>
        <v>-4.4112667211824608</v>
      </c>
      <c r="W164">
        <f t="shared" si="14"/>
        <v>0.58873327881752147</v>
      </c>
      <c r="X164" t="e">
        <f t="shared" si="15"/>
        <v>#DIV/0!</v>
      </c>
    </row>
    <row r="165" spans="1:24">
      <c r="A165">
        <f t="shared" si="17"/>
        <v>2503.2950000000001</v>
      </c>
      <c r="B165">
        <v>1060.2</v>
      </c>
      <c r="C165">
        <v>18.7</v>
      </c>
      <c r="D165">
        <v>140</v>
      </c>
      <c r="E165">
        <v>24</v>
      </c>
      <c r="F165">
        <v>143</v>
      </c>
      <c r="I165">
        <v>86.477000000000004</v>
      </c>
      <c r="J165">
        <v>-7.4180000000000001</v>
      </c>
      <c r="K165">
        <f t="shared" si="16"/>
        <v>32</v>
      </c>
      <c r="N165" s="1"/>
      <c r="O165" s="1">
        <v>0</v>
      </c>
      <c r="P165">
        <f t="shared" si="10"/>
        <v>88.974930901637833</v>
      </c>
      <c r="Q165">
        <f t="shared" si="11"/>
        <v>89.14232360513995</v>
      </c>
      <c r="R165" t="e">
        <f t="shared" si="12"/>
        <v>#NUM!</v>
      </c>
      <c r="V165">
        <f t="shared" si="13"/>
        <v>-4.5307472163186802</v>
      </c>
      <c r="W165">
        <f t="shared" si="14"/>
        <v>-1.5307472163186908</v>
      </c>
      <c r="X165" t="e">
        <f t="shared" si="15"/>
        <v>#DIV/0!</v>
      </c>
    </row>
    <row r="166" spans="1:24">
      <c r="A166">
        <f t="shared" si="17"/>
        <v>2503.7950000000001</v>
      </c>
      <c r="B166">
        <v>1089.2</v>
      </c>
      <c r="C166">
        <v>18.5</v>
      </c>
      <c r="D166">
        <v>110</v>
      </c>
      <c r="E166">
        <v>24</v>
      </c>
      <c r="F166">
        <v>110</v>
      </c>
      <c r="I166">
        <v>86.619</v>
      </c>
      <c r="J166">
        <v>-10.72</v>
      </c>
      <c r="K166">
        <f t="shared" si="16"/>
        <v>33</v>
      </c>
      <c r="N166" s="1"/>
      <c r="O166" s="1">
        <v>0</v>
      </c>
      <c r="P166">
        <f t="shared" si="10"/>
        <v>88.881533338968111</v>
      </c>
      <c r="Q166">
        <f t="shared" si="11"/>
        <v>89.14232360513995</v>
      </c>
      <c r="R166" t="e">
        <f t="shared" si="12"/>
        <v>#NUM!</v>
      </c>
      <c r="V166">
        <f t="shared" si="13"/>
        <v>-4.018949130366245</v>
      </c>
      <c r="W166">
        <f t="shared" si="14"/>
        <v>-4.018949130366245</v>
      </c>
      <c r="X166" t="e">
        <f t="shared" si="15"/>
        <v>#DIV/0!</v>
      </c>
    </row>
    <row r="167" spans="1:24">
      <c r="A167">
        <f t="shared" si="17"/>
        <v>2504.2950000000001</v>
      </c>
      <c r="B167">
        <v>1118.8</v>
      </c>
      <c r="C167">
        <v>18.5</v>
      </c>
      <c r="D167">
        <v>80</v>
      </c>
      <c r="E167">
        <v>24</v>
      </c>
      <c r="F167">
        <v>80</v>
      </c>
      <c r="I167">
        <v>86.688000000000002</v>
      </c>
      <c r="J167">
        <v>-14.76</v>
      </c>
      <c r="K167">
        <f t="shared" si="16"/>
        <v>30</v>
      </c>
      <c r="N167" s="1"/>
      <c r="O167" s="1">
        <v>2.5142857142857012E-2</v>
      </c>
      <c r="P167">
        <f t="shared" si="10"/>
        <v>88.856390481825258</v>
      </c>
      <c r="Q167">
        <f t="shared" si="11"/>
        <v>89.117180747997097</v>
      </c>
      <c r="R167" t="e">
        <f t="shared" si="12"/>
        <v>#NUM!</v>
      </c>
      <c r="V167">
        <f t="shared" si="13"/>
        <v>-2.8758724633251553</v>
      </c>
      <c r="W167">
        <f t="shared" si="14"/>
        <v>-2.8758724633251553</v>
      </c>
      <c r="X167" t="e">
        <f t="shared" si="15"/>
        <v>#DIV/0!</v>
      </c>
    </row>
    <row r="168" spans="1:24">
      <c r="A168">
        <f t="shared" si="17"/>
        <v>2504.7950000000001</v>
      </c>
      <c r="B168">
        <v>1149.5999999999999</v>
      </c>
      <c r="C168">
        <v>18.5</v>
      </c>
      <c r="D168">
        <v>50</v>
      </c>
      <c r="E168">
        <v>23.5</v>
      </c>
      <c r="F168">
        <v>50</v>
      </c>
      <c r="I168">
        <v>86.564999999999998</v>
      </c>
      <c r="J168">
        <v>-19.66</v>
      </c>
      <c r="K168">
        <f t="shared" si="16"/>
        <v>30</v>
      </c>
      <c r="N168" s="1"/>
      <c r="O168" s="1">
        <v>0.11314285714285688</v>
      </c>
      <c r="P168">
        <f t="shared" si="10"/>
        <v>88.76839048182525</v>
      </c>
      <c r="Q168">
        <f t="shared" si="11"/>
        <v>88.846313159199696</v>
      </c>
      <c r="R168" t="e">
        <f t="shared" si="12"/>
        <v>#NUM!</v>
      </c>
      <c r="V168">
        <f t="shared" si="13"/>
        <v>-0.47023863410691646</v>
      </c>
      <c r="W168">
        <f t="shared" si="14"/>
        <v>-0.47023863410691646</v>
      </c>
      <c r="X168" t="e">
        <f t="shared" si="15"/>
        <v>#DIV/0!</v>
      </c>
    </row>
    <row r="169" spans="1:24">
      <c r="A169">
        <f t="shared" si="17"/>
        <v>2505.2950000000001</v>
      </c>
      <c r="B169">
        <v>1181</v>
      </c>
      <c r="C169">
        <v>18.5</v>
      </c>
      <c r="D169">
        <v>15</v>
      </c>
      <c r="E169">
        <v>23.5</v>
      </c>
      <c r="F169">
        <v>15</v>
      </c>
      <c r="I169">
        <v>86.269000000000005</v>
      </c>
      <c r="J169">
        <v>-24.6</v>
      </c>
      <c r="K169">
        <f t="shared" si="16"/>
        <v>35</v>
      </c>
      <c r="N169" s="1"/>
      <c r="O169" s="1">
        <v>0.2</v>
      </c>
      <c r="P169">
        <f t="shared" ref="P169:P232" si="18">20*LOG(P$12*$C169/0.00002)-$N169-$O169+P$4</f>
        <v>88.681533338968109</v>
      </c>
      <c r="Q169">
        <f t="shared" ref="Q169:Q232" si="19">20*LOG(Q$12*$E169/0.00002)-$N169-$O169+Q$4</f>
        <v>88.759456016342554</v>
      </c>
      <c r="R169" t="e">
        <f t="shared" ref="R169:R232" si="20">20*LOG(R$12*$G169/0.00002)-$N169-$O169+R$4</f>
        <v>#NUM!</v>
      </c>
      <c r="V169">
        <f t="shared" ref="V169:V230" si="21">(D169/360+V$4/V$5*$B169+0.5*V$6-INT(D169/360+V$4/V$5*$B169+0.5*V$6)+IF(D169/360+V$4/V$5*$B169+0.5*V$6-INT(D169/360+V$4/V$5*$B169+0.5*V$6)&gt;0.5,-1,0))*360</f>
        <v>-2.4333262237996856</v>
      </c>
      <c r="W169">
        <f t="shared" ref="W169:W230" si="22">(F169/360+W$4/W$5*$B169+0.5*W$6-INT(F169/360+W$4/W$5*$B169+0.5*W$6)+IF(F169/360+W$4/W$5*$B169+0.5*W$6-INT(F169/360+W$4/W$5*$B169+0.5*W$6)&gt;0.5,-1,0))*360</f>
        <v>-2.4333262237996856</v>
      </c>
      <c r="X169" t="e">
        <f t="shared" ref="X169:X230" si="23">(H169/360+X$4/X$5*$B169+0.5*X$6-INT(H169/360+X$4/X$5*$B169+0.5*X$6)+IF(H169/360+X$4/X$5*$B169+0.5*X$6-INT(H169/360+X$4/X$5*$B169+0.5*X$6)&gt;0.5,-1,0))*360</f>
        <v>#DIV/0!</v>
      </c>
    </row>
    <row r="170" spans="1:24">
      <c r="A170">
        <f t="shared" si="17"/>
        <v>2505.7950000000001</v>
      </c>
      <c r="B170">
        <v>1213.4000000000001</v>
      </c>
      <c r="C170">
        <v>18.5</v>
      </c>
      <c r="D170">
        <v>340</v>
      </c>
      <c r="E170">
        <v>23.5</v>
      </c>
      <c r="F170">
        <v>335</v>
      </c>
      <c r="I170">
        <v>85.924000000000007</v>
      </c>
      <c r="J170">
        <v>-27.94</v>
      </c>
      <c r="K170">
        <f t="shared" ref="K170:K230" si="24">+F169-F170</f>
        <v>-320</v>
      </c>
      <c r="N170" s="1"/>
      <c r="O170" s="1">
        <v>0.2</v>
      </c>
      <c r="P170">
        <f t="shared" si="18"/>
        <v>88.681533338968109</v>
      </c>
      <c r="Q170">
        <f t="shared" si="19"/>
        <v>88.759456016342554</v>
      </c>
      <c r="R170" t="e">
        <f t="shared" si="20"/>
        <v>#NUM!</v>
      </c>
      <c r="V170">
        <f t="shared" si="21"/>
        <v>-3.3442828450112572</v>
      </c>
      <c r="W170">
        <f t="shared" si="22"/>
        <v>-8.3442828450113993</v>
      </c>
      <c r="X170" t="e">
        <f t="shared" si="23"/>
        <v>#DIV/0!</v>
      </c>
    </row>
    <row r="171" spans="1:24">
      <c r="A171">
        <f t="shared" si="17"/>
        <v>2506.2950000000001</v>
      </c>
      <c r="B171">
        <v>1246.5999999999999</v>
      </c>
      <c r="C171">
        <v>19</v>
      </c>
      <c r="D171">
        <v>305</v>
      </c>
      <c r="E171">
        <v>24</v>
      </c>
      <c r="F171">
        <v>300</v>
      </c>
      <c r="I171">
        <v>85.623999999999995</v>
      </c>
      <c r="J171">
        <v>-28.13</v>
      </c>
      <c r="K171">
        <f t="shared" si="24"/>
        <v>35</v>
      </c>
      <c r="N171" s="1"/>
      <c r="O171" s="1">
        <v>0.2</v>
      </c>
      <c r="P171">
        <f t="shared" si="18"/>
        <v>88.913170789964411</v>
      </c>
      <c r="Q171">
        <f t="shared" si="19"/>
        <v>88.942323605139947</v>
      </c>
      <c r="R171" t="e">
        <f t="shared" si="20"/>
        <v>#NUM!</v>
      </c>
      <c r="V171">
        <f t="shared" si="21"/>
        <v>-3.4135346914385423</v>
      </c>
      <c r="W171">
        <f t="shared" si="22"/>
        <v>-8.4135346914383646</v>
      </c>
      <c r="X171" t="e">
        <f t="shared" si="23"/>
        <v>#DIV/0!</v>
      </c>
    </row>
    <row r="172" spans="1:24">
      <c r="A172">
        <f t="shared" si="17"/>
        <v>2506.7950000000001</v>
      </c>
      <c r="B172">
        <v>1280.8</v>
      </c>
      <c r="C172">
        <v>19</v>
      </c>
      <c r="D172">
        <v>265</v>
      </c>
      <c r="E172">
        <v>24</v>
      </c>
      <c r="F172">
        <v>265</v>
      </c>
      <c r="I172">
        <v>85.37</v>
      </c>
      <c r="J172">
        <v>-25.65</v>
      </c>
      <c r="K172">
        <f t="shared" si="24"/>
        <v>35</v>
      </c>
      <c r="N172" s="1"/>
      <c r="O172" s="1">
        <v>0.17400000000000007</v>
      </c>
      <c r="P172">
        <f t="shared" si="18"/>
        <v>88.939170789964408</v>
      </c>
      <c r="Q172">
        <f t="shared" si="19"/>
        <v>88.968323605139943</v>
      </c>
      <c r="R172" t="e">
        <f t="shared" si="20"/>
        <v>#NUM!</v>
      </c>
      <c r="V172">
        <f t="shared" si="21"/>
        <v>-7.4306555693839726</v>
      </c>
      <c r="W172">
        <f t="shared" si="22"/>
        <v>-7.4306555693839726</v>
      </c>
      <c r="X172" t="e">
        <f t="shared" si="23"/>
        <v>#DIV/0!</v>
      </c>
    </row>
    <row r="173" spans="1:24">
      <c r="A173">
        <f t="shared" si="17"/>
        <v>2507.2950000000001</v>
      </c>
      <c r="B173">
        <v>1315.8</v>
      </c>
      <c r="C173">
        <v>19</v>
      </c>
      <c r="D173">
        <v>220</v>
      </c>
      <c r="E173">
        <v>24.5</v>
      </c>
      <c r="F173">
        <v>225</v>
      </c>
      <c r="I173">
        <v>85.126999999999995</v>
      </c>
      <c r="J173">
        <v>-24.11</v>
      </c>
      <c r="K173">
        <f t="shared" si="24"/>
        <v>40</v>
      </c>
      <c r="N173" s="1"/>
      <c r="O173" s="1">
        <v>0.13025000000000006</v>
      </c>
      <c r="P173">
        <f t="shared" si="18"/>
        <v>88.98292078996441</v>
      </c>
      <c r="Q173">
        <f t="shared" si="19"/>
        <v>89.191170458198499</v>
      </c>
      <c r="R173" t="e">
        <f t="shared" si="20"/>
        <v>#NUM!</v>
      </c>
      <c r="V173">
        <f t="shared" si="21"/>
        <v>-15.606071672545099</v>
      </c>
      <c r="W173">
        <f t="shared" si="22"/>
        <v>-10.606071672544957</v>
      </c>
      <c r="X173" t="e">
        <f t="shared" si="23"/>
        <v>#DIV/0!</v>
      </c>
    </row>
    <row r="174" spans="1:24">
      <c r="A174">
        <f t="shared" si="17"/>
        <v>2507.7950000000001</v>
      </c>
      <c r="B174">
        <v>1351.8</v>
      </c>
      <c r="C174">
        <v>19</v>
      </c>
      <c r="D174">
        <v>180</v>
      </c>
      <c r="E174">
        <v>24.5</v>
      </c>
      <c r="F174">
        <v>185</v>
      </c>
      <c r="I174">
        <v>84.831000000000003</v>
      </c>
      <c r="J174">
        <v>-24.86</v>
      </c>
      <c r="K174">
        <f t="shared" si="24"/>
        <v>40</v>
      </c>
      <c r="N174" s="1"/>
      <c r="O174" s="1">
        <v>0.1</v>
      </c>
      <c r="P174">
        <f t="shared" si="18"/>
        <v>89.01317078996442</v>
      </c>
      <c r="Q174">
        <f t="shared" si="19"/>
        <v>89.221420458198509</v>
      </c>
      <c r="R174" t="e">
        <f t="shared" si="20"/>
        <v>#NUM!</v>
      </c>
      <c r="V174">
        <f t="shared" si="21"/>
        <v>-17.729356807224725</v>
      </c>
      <c r="W174">
        <f t="shared" si="22"/>
        <v>-12.729356807224903</v>
      </c>
      <c r="X174" t="e">
        <f t="shared" si="23"/>
        <v>#DIV/0!</v>
      </c>
    </row>
    <row r="175" spans="1:24">
      <c r="A175">
        <f t="shared" si="17"/>
        <v>2508.2950000000001</v>
      </c>
      <c r="B175">
        <v>1388.8</v>
      </c>
      <c r="C175">
        <v>19</v>
      </c>
      <c r="D175">
        <v>135</v>
      </c>
      <c r="E175">
        <v>24</v>
      </c>
      <c r="F175">
        <v>145</v>
      </c>
      <c r="I175">
        <v>84.474000000000004</v>
      </c>
      <c r="J175">
        <v>-25.49</v>
      </c>
      <c r="K175">
        <f t="shared" si="24"/>
        <v>40</v>
      </c>
      <c r="N175" s="1"/>
      <c r="O175" s="1">
        <v>0.1</v>
      </c>
      <c r="P175">
        <f t="shared" si="18"/>
        <v>89.01317078996442</v>
      </c>
      <c r="Q175">
        <f t="shared" si="19"/>
        <v>89.042323605139956</v>
      </c>
      <c r="R175" t="e">
        <f t="shared" si="20"/>
        <v>#NUM!</v>
      </c>
      <c r="V175">
        <f t="shared" si="21"/>
        <v>-23.800510973423457</v>
      </c>
      <c r="W175">
        <f t="shared" si="22"/>
        <v>-13.800510973423492</v>
      </c>
      <c r="X175" t="e">
        <f t="shared" si="23"/>
        <v>#DIV/0!</v>
      </c>
    </row>
    <row r="176" spans="1:24">
      <c r="A176">
        <f t="shared" si="17"/>
        <v>2508.7950000000001</v>
      </c>
      <c r="B176">
        <v>1427</v>
      </c>
      <c r="C176">
        <v>18.5</v>
      </c>
      <c r="D176">
        <v>95</v>
      </c>
      <c r="E176">
        <v>23</v>
      </c>
      <c r="F176">
        <v>100</v>
      </c>
      <c r="I176">
        <v>84.265000000000001</v>
      </c>
      <c r="J176">
        <v>-23.65</v>
      </c>
      <c r="K176">
        <f t="shared" si="24"/>
        <v>45</v>
      </c>
      <c r="N176" s="1"/>
      <c r="O176" s="1">
        <v>0.1</v>
      </c>
      <c r="P176">
        <f t="shared" si="18"/>
        <v>88.781533338968117</v>
      </c>
      <c r="Q176">
        <f t="shared" si="19"/>
        <v>88.672655491259718</v>
      </c>
      <c r="R176" t="e">
        <f t="shared" si="20"/>
        <v>#NUM!</v>
      </c>
      <c r="V176">
        <f t="shared" si="21"/>
        <v>-23.609107977444417</v>
      </c>
      <c r="W176">
        <f t="shared" si="22"/>
        <v>-18.609107977444594</v>
      </c>
      <c r="X176" t="e">
        <f t="shared" si="23"/>
        <v>#DIV/0!</v>
      </c>
    </row>
    <row r="177" spans="1:24">
      <c r="A177">
        <f t="shared" si="17"/>
        <v>2509.2950000000001</v>
      </c>
      <c r="B177">
        <v>1465.8</v>
      </c>
      <c r="C177">
        <v>17</v>
      </c>
      <c r="D177">
        <v>55</v>
      </c>
      <c r="E177">
        <v>22</v>
      </c>
      <c r="F177">
        <v>55</v>
      </c>
      <c r="I177">
        <v>84.474999999999994</v>
      </c>
      <c r="J177">
        <v>-19.760000000000002</v>
      </c>
      <c r="K177">
        <f t="shared" si="24"/>
        <v>45</v>
      </c>
      <c r="N177" s="1"/>
      <c r="O177" s="1">
        <v>0.1</v>
      </c>
      <c r="P177">
        <f t="shared" si="18"/>
        <v>88.047077198473332</v>
      </c>
      <c r="Q177">
        <f t="shared" si="19"/>
        <v>88.286552387351975</v>
      </c>
      <c r="R177" t="e">
        <f t="shared" si="20"/>
        <v>#NUM!</v>
      </c>
      <c r="V177">
        <f t="shared" si="21"/>
        <v>-22.786426400377202</v>
      </c>
      <c r="W177">
        <f t="shared" si="22"/>
        <v>-22.786426400377202</v>
      </c>
      <c r="X177" t="e">
        <f t="shared" si="23"/>
        <v>#DIV/0!</v>
      </c>
    </row>
    <row r="178" spans="1:24">
      <c r="A178">
        <f t="shared" si="17"/>
        <v>2509.7950000000001</v>
      </c>
      <c r="B178">
        <v>1506.2</v>
      </c>
      <c r="C178">
        <v>16</v>
      </c>
      <c r="D178">
        <v>10</v>
      </c>
      <c r="E178">
        <v>20.5</v>
      </c>
      <c r="F178">
        <v>10</v>
      </c>
      <c r="I178">
        <v>85.117000000000004</v>
      </c>
      <c r="J178">
        <v>-17.46</v>
      </c>
      <c r="K178">
        <f t="shared" si="24"/>
        <v>45</v>
      </c>
      <c r="N178" s="1"/>
      <c r="O178" s="1">
        <v>0.1</v>
      </c>
      <c r="P178">
        <f t="shared" si="18"/>
        <v>87.520498424026343</v>
      </c>
      <c r="Q178">
        <f t="shared" si="19"/>
        <v>87.673175992022934</v>
      </c>
      <c r="R178" t="e">
        <f t="shared" si="20"/>
        <v>#NUM!</v>
      </c>
      <c r="V178">
        <f t="shared" si="21"/>
        <v>-25.280335273739958</v>
      </c>
      <c r="W178">
        <f t="shared" si="22"/>
        <v>-25.280335273739958</v>
      </c>
      <c r="X178" t="e">
        <f t="shared" si="23"/>
        <v>#DIV/0!</v>
      </c>
    </row>
    <row r="179" spans="1:24">
      <c r="A179">
        <f t="shared" si="17"/>
        <v>2510.2950000000001</v>
      </c>
      <c r="B179">
        <v>1547.2</v>
      </c>
      <c r="C179">
        <v>15</v>
      </c>
      <c r="D179">
        <v>325</v>
      </c>
      <c r="E179">
        <v>20</v>
      </c>
      <c r="F179">
        <v>325</v>
      </c>
      <c r="I179">
        <v>85.820999999999998</v>
      </c>
      <c r="J179">
        <v>-18.739999999999998</v>
      </c>
      <c r="K179">
        <f t="shared" si="24"/>
        <v>-315</v>
      </c>
      <c r="N179" s="1"/>
      <c r="O179" s="1">
        <v>0.13720000000000004</v>
      </c>
      <c r="P179">
        <f t="shared" si="18"/>
        <v>86.922723952021457</v>
      </c>
      <c r="Q179">
        <f t="shared" si="19"/>
        <v>87.421498684187469</v>
      </c>
      <c r="R179" t="e">
        <f t="shared" si="20"/>
        <v>#NUM!</v>
      </c>
      <c r="V179">
        <f t="shared" si="21"/>
        <v>-27.142965566014219</v>
      </c>
      <c r="W179">
        <f t="shared" si="22"/>
        <v>-27.142965566014219</v>
      </c>
      <c r="X179" t="e">
        <f t="shared" si="23"/>
        <v>#DIV/0!</v>
      </c>
    </row>
    <row r="180" spans="1:24">
      <c r="A180">
        <f t="shared" si="17"/>
        <v>2510.7950000000001</v>
      </c>
      <c r="B180">
        <v>1589.8</v>
      </c>
      <c r="C180">
        <v>14.5</v>
      </c>
      <c r="D180">
        <v>280</v>
      </c>
      <c r="E180">
        <v>19</v>
      </c>
      <c r="F180">
        <v>285</v>
      </c>
      <c r="I180">
        <v>86.042000000000002</v>
      </c>
      <c r="J180">
        <v>-21.22</v>
      </c>
      <c r="K180">
        <f t="shared" si="24"/>
        <v>40</v>
      </c>
      <c r="N180" s="1"/>
      <c r="O180" s="1">
        <v>0.17979999999999996</v>
      </c>
      <c r="P180">
        <f t="shared" si="18"/>
        <v>86.585658815607346</v>
      </c>
      <c r="Q180">
        <f t="shared" si="19"/>
        <v>86.933370789964428</v>
      </c>
      <c r="R180" t="e">
        <f t="shared" si="20"/>
        <v>#NUM!</v>
      </c>
      <c r="V180">
        <f t="shared" si="21"/>
        <v>-27.322186308718628</v>
      </c>
      <c r="W180">
        <f t="shared" si="22"/>
        <v>-22.322186308718486</v>
      </c>
      <c r="X180" t="e">
        <f t="shared" si="23"/>
        <v>#DIV/0!</v>
      </c>
    </row>
    <row r="181" spans="1:24">
      <c r="A181">
        <f t="shared" si="17"/>
        <v>2511.2950000000001</v>
      </c>
      <c r="B181">
        <v>1633.2</v>
      </c>
      <c r="C181">
        <v>14.5</v>
      </c>
      <c r="D181">
        <v>235</v>
      </c>
      <c r="E181">
        <v>19</v>
      </c>
      <c r="F181">
        <v>245</v>
      </c>
      <c r="I181">
        <v>85.644999999999996</v>
      </c>
      <c r="J181">
        <v>-22.7</v>
      </c>
      <c r="K181">
        <f t="shared" si="24"/>
        <v>40</v>
      </c>
      <c r="N181" s="1"/>
      <c r="O181" s="1">
        <v>0.2</v>
      </c>
      <c r="P181">
        <f t="shared" si="18"/>
        <v>86.565458815607343</v>
      </c>
      <c r="Q181">
        <f t="shared" si="19"/>
        <v>86.913170789964425</v>
      </c>
      <c r="R181" t="e">
        <f t="shared" si="20"/>
        <v>#NUM!</v>
      </c>
      <c r="V181">
        <f t="shared" si="21"/>
        <v>-26.659702276637951</v>
      </c>
      <c r="W181">
        <f t="shared" si="22"/>
        <v>-16.659702276637987</v>
      </c>
      <c r="X181" t="e">
        <f t="shared" si="23"/>
        <v>#DIV/0!</v>
      </c>
    </row>
    <row r="182" spans="1:24">
      <c r="A182">
        <f t="shared" si="17"/>
        <v>2511.7950000000001</v>
      </c>
      <c r="B182">
        <v>1678</v>
      </c>
      <c r="C182">
        <v>14.5</v>
      </c>
      <c r="D182">
        <v>190</v>
      </c>
      <c r="E182">
        <v>19</v>
      </c>
      <c r="F182">
        <v>200</v>
      </c>
      <c r="I182">
        <v>85.034000000000006</v>
      </c>
      <c r="J182">
        <v>-22.41</v>
      </c>
      <c r="K182">
        <f t="shared" si="24"/>
        <v>45</v>
      </c>
      <c r="N182" s="1"/>
      <c r="O182" s="1">
        <v>0.2</v>
      </c>
      <c r="P182">
        <f t="shared" si="18"/>
        <v>86.565458815607343</v>
      </c>
      <c r="Q182">
        <f t="shared" si="19"/>
        <v>86.913170789964425</v>
      </c>
      <c r="R182" t="e">
        <f t="shared" si="20"/>
        <v>#NUM!</v>
      </c>
      <c r="V182">
        <f t="shared" si="21"/>
        <v>-24.524234888684013</v>
      </c>
      <c r="W182">
        <f t="shared" si="22"/>
        <v>-14.524234888684049</v>
      </c>
      <c r="X182" t="e">
        <f t="shared" si="23"/>
        <v>#DIV/0!</v>
      </c>
    </row>
    <row r="183" spans="1:24">
      <c r="A183">
        <f t="shared" si="17"/>
        <v>2512.2950000000001</v>
      </c>
      <c r="B183">
        <v>1723.8</v>
      </c>
      <c r="C183">
        <v>15</v>
      </c>
      <c r="D183">
        <v>145</v>
      </c>
      <c r="E183">
        <v>19</v>
      </c>
      <c r="F183">
        <v>150</v>
      </c>
      <c r="I183">
        <v>84.641000000000005</v>
      </c>
      <c r="J183">
        <v>-20.65</v>
      </c>
      <c r="K183">
        <f t="shared" si="24"/>
        <v>50</v>
      </c>
      <c r="N183" s="1"/>
      <c r="O183" s="1">
        <v>0.2</v>
      </c>
      <c r="P183">
        <f t="shared" si="18"/>
        <v>86.859923952021461</v>
      </c>
      <c r="Q183">
        <f t="shared" si="19"/>
        <v>86.913170789964425</v>
      </c>
      <c r="R183" t="e">
        <f t="shared" si="20"/>
        <v>#NUM!</v>
      </c>
      <c r="V183">
        <f t="shared" si="21"/>
        <v>-21.336636532248718</v>
      </c>
      <c r="W183">
        <f t="shared" si="22"/>
        <v>-16.336636532248576</v>
      </c>
      <c r="X183" t="e">
        <f t="shared" si="23"/>
        <v>#DIV/0!</v>
      </c>
    </row>
    <row r="184" spans="1:24">
      <c r="A184">
        <f t="shared" si="17"/>
        <v>2512.7950000000001</v>
      </c>
      <c r="B184">
        <v>1771.2</v>
      </c>
      <c r="C184">
        <v>15.5</v>
      </c>
      <c r="D184">
        <v>95</v>
      </c>
      <c r="E184">
        <v>19.5</v>
      </c>
      <c r="F184">
        <v>95</v>
      </c>
      <c r="I184">
        <v>84.533000000000001</v>
      </c>
      <c r="J184">
        <v>-20.28</v>
      </c>
      <c r="K184">
        <f t="shared" si="24"/>
        <v>55</v>
      </c>
      <c r="N184" s="1"/>
      <c r="O184" s="1">
        <v>0.2</v>
      </c>
      <c r="P184">
        <f t="shared" si="18"/>
        <v>87.144732734313678</v>
      </c>
      <c r="Q184">
        <f t="shared" si="19"/>
        <v>87.138790998158214</v>
      </c>
      <c r="R184" t="e">
        <f t="shared" si="20"/>
        <v>#NUM!</v>
      </c>
      <c r="V184">
        <f t="shared" si="21"/>
        <v>-21.465628626243713</v>
      </c>
      <c r="W184">
        <f t="shared" si="22"/>
        <v>-21.465628626243713</v>
      </c>
      <c r="X184" t="e">
        <f t="shared" si="23"/>
        <v>#DIV/0!</v>
      </c>
    </row>
    <row r="185" spans="1:24">
      <c r="A185">
        <f t="shared" si="17"/>
        <v>2513.2950000000001</v>
      </c>
      <c r="B185">
        <v>1819.6</v>
      </c>
      <c r="C185">
        <v>15.8</v>
      </c>
      <c r="D185">
        <v>45</v>
      </c>
      <c r="E185">
        <v>20</v>
      </c>
      <c r="F185">
        <v>40</v>
      </c>
      <c r="I185">
        <v>84.364999999999995</v>
      </c>
      <c r="J185">
        <v>-23.73</v>
      </c>
      <c r="K185">
        <f t="shared" si="24"/>
        <v>55</v>
      </c>
      <c r="N185" s="1"/>
      <c r="O185" s="1">
        <v>0.2</v>
      </c>
      <c r="P185">
        <f t="shared" si="18"/>
        <v>87.311240509996296</v>
      </c>
      <c r="Q185">
        <f t="shared" si="19"/>
        <v>87.358698684187473</v>
      </c>
      <c r="R185" t="e">
        <f t="shared" si="20"/>
        <v>#NUM!</v>
      </c>
      <c r="V185">
        <f t="shared" si="21"/>
        <v>-20.542489751757671</v>
      </c>
      <c r="W185">
        <f t="shared" si="22"/>
        <v>-25.542489751757813</v>
      </c>
      <c r="X185" t="e">
        <f t="shared" si="23"/>
        <v>#DIV/0!</v>
      </c>
    </row>
    <row r="186" spans="1:24">
      <c r="A186">
        <f t="shared" si="17"/>
        <v>2513.7950000000001</v>
      </c>
      <c r="B186">
        <v>1869.4</v>
      </c>
      <c r="C186">
        <v>15</v>
      </c>
      <c r="D186">
        <v>350</v>
      </c>
      <c r="E186">
        <v>20</v>
      </c>
      <c r="F186">
        <v>345</v>
      </c>
      <c r="I186">
        <v>83.817999999999998</v>
      </c>
      <c r="J186">
        <v>-27.16</v>
      </c>
      <c r="K186">
        <f t="shared" si="24"/>
        <v>-305</v>
      </c>
      <c r="N186" s="1"/>
      <c r="O186" s="1">
        <v>0.24490909090909099</v>
      </c>
      <c r="P186">
        <f t="shared" si="18"/>
        <v>86.815014861112374</v>
      </c>
      <c r="Q186">
        <f t="shared" si="19"/>
        <v>87.313789593278386</v>
      </c>
      <c r="R186" t="e">
        <f t="shared" si="20"/>
        <v>#NUM!</v>
      </c>
      <c r="V186">
        <f t="shared" si="21"/>
        <v>-23.14636752139787</v>
      </c>
      <c r="W186">
        <f t="shared" si="22"/>
        <v>-28.146367521398012</v>
      </c>
      <c r="X186" t="e">
        <f t="shared" si="23"/>
        <v>#DIV/0!</v>
      </c>
    </row>
    <row r="187" spans="1:24">
      <c r="A187">
        <f t="shared" si="17"/>
        <v>2514.2950000000001</v>
      </c>
      <c r="B187">
        <v>1920.4</v>
      </c>
      <c r="C187">
        <v>14.5</v>
      </c>
      <c r="D187">
        <v>295</v>
      </c>
      <c r="E187">
        <v>19</v>
      </c>
      <c r="F187">
        <v>290</v>
      </c>
      <c r="I187">
        <v>83.176000000000002</v>
      </c>
      <c r="J187">
        <v>-26.8</v>
      </c>
      <c r="K187">
        <f t="shared" si="24"/>
        <v>55</v>
      </c>
      <c r="N187" s="1"/>
      <c r="O187" s="1">
        <v>0.29127272727272735</v>
      </c>
      <c r="P187">
        <f t="shared" si="18"/>
        <v>86.474186088334619</v>
      </c>
      <c r="Q187">
        <f t="shared" si="19"/>
        <v>86.821898062691702</v>
      </c>
      <c r="R187" t="e">
        <f t="shared" si="20"/>
        <v>#NUM!</v>
      </c>
      <c r="V187">
        <f t="shared" si="21"/>
        <v>-24.487688128860761</v>
      </c>
      <c r="W187">
        <f t="shared" si="22"/>
        <v>-29.487688128860903</v>
      </c>
      <c r="X187" t="e">
        <f t="shared" si="23"/>
        <v>#DIV/0!</v>
      </c>
    </row>
    <row r="188" spans="1:24">
      <c r="A188">
        <f t="shared" si="17"/>
        <v>2514.7950000000001</v>
      </c>
      <c r="B188">
        <v>1973.2</v>
      </c>
      <c r="C188">
        <v>14</v>
      </c>
      <c r="D188">
        <v>240</v>
      </c>
      <c r="E188">
        <v>18.5</v>
      </c>
      <c r="F188">
        <v>235</v>
      </c>
      <c r="I188">
        <v>82.972999999999999</v>
      </c>
      <c r="J188">
        <v>-24.46</v>
      </c>
      <c r="K188">
        <f t="shared" si="24"/>
        <v>55</v>
      </c>
      <c r="N188" s="1"/>
      <c r="O188" s="1">
        <v>0.33600000000000002</v>
      </c>
      <c r="P188">
        <f t="shared" si="18"/>
        <v>86.124659484472602</v>
      </c>
      <c r="Q188">
        <f t="shared" si="19"/>
        <v>86.545533338968127</v>
      </c>
      <c r="R188" t="e">
        <f t="shared" si="20"/>
        <v>#NUM!</v>
      </c>
      <c r="V188">
        <f t="shared" si="21"/>
        <v>-23.935172993057847</v>
      </c>
      <c r="W188">
        <f t="shared" si="22"/>
        <v>-28.935172993057989</v>
      </c>
      <c r="X188" t="e">
        <f t="shared" si="23"/>
        <v>#DIV/0!</v>
      </c>
    </row>
    <row r="189" spans="1:24">
      <c r="A189">
        <f t="shared" si="17"/>
        <v>2515.2950000000001</v>
      </c>
      <c r="B189">
        <v>2026</v>
      </c>
      <c r="C189">
        <v>13</v>
      </c>
      <c r="D189">
        <v>185</v>
      </c>
      <c r="E189">
        <v>18</v>
      </c>
      <c r="F189">
        <v>180</v>
      </c>
      <c r="I189">
        <v>83.39</v>
      </c>
      <c r="J189">
        <v>-22.91</v>
      </c>
      <c r="K189">
        <f t="shared" si="24"/>
        <v>55</v>
      </c>
      <c r="N189" s="1"/>
      <c r="O189" s="1">
        <v>0.38</v>
      </c>
      <c r="P189">
        <f t="shared" si="18"/>
        <v>85.43696581704458</v>
      </c>
      <c r="Q189">
        <f t="shared" si="19"/>
        <v>86.263548872973956</v>
      </c>
      <c r="R189" t="e">
        <f t="shared" si="20"/>
        <v>#NUM!</v>
      </c>
      <c r="V189">
        <f t="shared" si="21"/>
        <v>-23.382657857255253</v>
      </c>
      <c r="W189">
        <f t="shared" si="22"/>
        <v>-28.382657857255076</v>
      </c>
      <c r="X189" t="e">
        <f t="shared" si="23"/>
        <v>#DIV/0!</v>
      </c>
    </row>
    <row r="190" spans="1:24">
      <c r="A190">
        <f t="shared" si="17"/>
        <v>2515.7950000000001</v>
      </c>
      <c r="B190">
        <v>2082</v>
      </c>
      <c r="C190">
        <v>13</v>
      </c>
      <c r="D190">
        <v>130</v>
      </c>
      <c r="E190">
        <v>17</v>
      </c>
      <c r="F190">
        <v>125</v>
      </c>
      <c r="I190">
        <v>84.052999999999997</v>
      </c>
      <c r="J190">
        <v>-26.92</v>
      </c>
      <c r="K190">
        <f t="shared" si="24"/>
        <v>55</v>
      </c>
      <c r="N190" s="1"/>
      <c r="O190" s="1">
        <v>0.37538461538461537</v>
      </c>
      <c r="P190">
        <f t="shared" si="18"/>
        <v>85.441581201659957</v>
      </c>
      <c r="Q190">
        <f t="shared" si="19"/>
        <v>85.771692583088708</v>
      </c>
      <c r="R190" t="e">
        <f t="shared" si="20"/>
        <v>#NUM!</v>
      </c>
      <c r="V190">
        <f t="shared" si="21"/>
        <v>-19.463323622312316</v>
      </c>
      <c r="W190">
        <f t="shared" si="22"/>
        <v>-24.463323622312139</v>
      </c>
      <c r="X190" t="e">
        <f t="shared" si="23"/>
        <v>#DIV/0!</v>
      </c>
    </row>
    <row r="191" spans="1:24">
      <c r="A191">
        <f t="shared" si="17"/>
        <v>2516.2950000000001</v>
      </c>
      <c r="B191">
        <v>2140</v>
      </c>
      <c r="C191">
        <v>13.5</v>
      </c>
      <c r="D191">
        <v>75</v>
      </c>
      <c r="E191">
        <v>17</v>
      </c>
      <c r="F191">
        <v>65</v>
      </c>
      <c r="I191">
        <v>84.45</v>
      </c>
      <c r="J191">
        <v>-34.57</v>
      </c>
      <c r="K191">
        <f t="shared" si="24"/>
        <v>60</v>
      </c>
      <c r="N191" s="1"/>
      <c r="O191" s="1">
        <v>0.33076923076923076</v>
      </c>
      <c r="P191">
        <f t="shared" si="18"/>
        <v>85.814004910038733</v>
      </c>
      <c r="Q191">
        <f t="shared" si="19"/>
        <v>85.816307967704091</v>
      </c>
      <c r="R191" t="e">
        <f t="shared" si="20"/>
        <v>#NUM!</v>
      </c>
      <c r="V191">
        <f t="shared" si="21"/>
        <v>-13.439727450407624</v>
      </c>
      <c r="W191">
        <f t="shared" si="22"/>
        <v>-23.439727450407588</v>
      </c>
      <c r="X191" t="e">
        <f t="shared" si="23"/>
        <v>#DIV/0!</v>
      </c>
    </row>
    <row r="192" spans="1:24">
      <c r="A192">
        <f t="shared" si="17"/>
        <v>2516.7950000000001</v>
      </c>
      <c r="B192">
        <v>2198</v>
      </c>
      <c r="C192">
        <v>14</v>
      </c>
      <c r="D192">
        <v>15</v>
      </c>
      <c r="E192">
        <v>18</v>
      </c>
      <c r="F192">
        <v>5</v>
      </c>
      <c r="I192">
        <v>84.594999999999999</v>
      </c>
      <c r="J192">
        <v>-37.57</v>
      </c>
      <c r="K192">
        <f t="shared" si="24"/>
        <v>60</v>
      </c>
      <c r="N192" s="1"/>
      <c r="O192" s="1">
        <v>0.3</v>
      </c>
      <c r="P192">
        <f t="shared" si="18"/>
        <v>86.160659484472603</v>
      </c>
      <c r="Q192">
        <f t="shared" si="19"/>
        <v>86.343548872973955</v>
      </c>
      <c r="R192" t="e">
        <f t="shared" si="20"/>
        <v>#NUM!</v>
      </c>
      <c r="V192">
        <f t="shared" si="21"/>
        <v>-12.416131278502434</v>
      </c>
      <c r="W192">
        <f t="shared" si="22"/>
        <v>-22.416131278502398</v>
      </c>
      <c r="X192" t="e">
        <f t="shared" si="23"/>
        <v>#DIV/0!</v>
      </c>
    </row>
    <row r="193" spans="1:24">
      <c r="A193">
        <f t="shared" si="17"/>
        <v>2517.2950000000001</v>
      </c>
      <c r="B193">
        <v>2258</v>
      </c>
      <c r="C193">
        <v>14</v>
      </c>
      <c r="D193">
        <v>310</v>
      </c>
      <c r="E193">
        <v>18.5</v>
      </c>
      <c r="F193">
        <v>300</v>
      </c>
      <c r="I193">
        <v>84.533000000000001</v>
      </c>
      <c r="J193">
        <v>-36.44</v>
      </c>
      <c r="K193">
        <f t="shared" si="24"/>
        <v>-295</v>
      </c>
      <c r="N193" s="1"/>
      <c r="O193" s="1">
        <v>0.3</v>
      </c>
      <c r="P193">
        <f t="shared" si="18"/>
        <v>86.160659484472603</v>
      </c>
      <c r="Q193">
        <f t="shared" si="19"/>
        <v>86.581533338968129</v>
      </c>
      <c r="R193" t="e">
        <f t="shared" si="20"/>
        <v>#NUM!</v>
      </c>
      <c r="V193">
        <f t="shared" si="21"/>
        <v>-14.28827316963563</v>
      </c>
      <c r="W193">
        <f t="shared" si="22"/>
        <v>-24.288273169635595</v>
      </c>
      <c r="X193" t="e">
        <f t="shared" si="23"/>
        <v>#DIV/0!</v>
      </c>
    </row>
    <row r="194" spans="1:24">
      <c r="A194">
        <f t="shared" si="17"/>
        <v>2517.7950000000001</v>
      </c>
      <c r="B194">
        <v>2320</v>
      </c>
      <c r="C194">
        <v>14</v>
      </c>
      <c r="D194">
        <v>240</v>
      </c>
      <c r="E194">
        <v>18.5</v>
      </c>
      <c r="F194">
        <v>235</v>
      </c>
      <c r="I194">
        <v>84.100999999999999</v>
      </c>
      <c r="J194">
        <v>-36.58</v>
      </c>
      <c r="K194">
        <f t="shared" si="24"/>
        <v>65</v>
      </c>
      <c r="N194" s="1"/>
      <c r="O194" s="1">
        <v>0.3</v>
      </c>
      <c r="P194">
        <f t="shared" si="18"/>
        <v>86.160659484472603</v>
      </c>
      <c r="Q194">
        <f t="shared" si="19"/>
        <v>86.581533338968129</v>
      </c>
      <c r="R194" t="e">
        <f t="shared" si="20"/>
        <v>#NUM!</v>
      </c>
      <c r="V194">
        <f t="shared" si="21"/>
        <v>-19.056153123806254</v>
      </c>
      <c r="W194">
        <f t="shared" si="22"/>
        <v>-24.056153123806396</v>
      </c>
      <c r="X194" t="e">
        <f t="shared" si="23"/>
        <v>#DIV/0!</v>
      </c>
    </row>
    <row r="195" spans="1:24">
      <c r="A195">
        <f t="shared" si="17"/>
        <v>2518.2950000000001</v>
      </c>
      <c r="B195">
        <v>2384</v>
      </c>
      <c r="C195">
        <v>14.5</v>
      </c>
      <c r="D195">
        <v>170</v>
      </c>
      <c r="E195">
        <v>18.5</v>
      </c>
      <c r="F195">
        <v>170</v>
      </c>
      <c r="I195">
        <v>83.617000000000004</v>
      </c>
      <c r="J195">
        <v>-40</v>
      </c>
      <c r="K195">
        <f t="shared" si="24"/>
        <v>65</v>
      </c>
      <c r="N195" s="1"/>
      <c r="O195" s="1">
        <v>0.2573333333333333</v>
      </c>
      <c r="P195">
        <f t="shared" si="18"/>
        <v>86.508125482274011</v>
      </c>
      <c r="Q195">
        <f t="shared" si="19"/>
        <v>86.624200005634791</v>
      </c>
      <c r="R195" t="e">
        <f t="shared" si="20"/>
        <v>#NUM!</v>
      </c>
      <c r="V195">
        <f t="shared" si="21"/>
        <v>-21.719771141014803</v>
      </c>
      <c r="W195">
        <f t="shared" si="22"/>
        <v>-21.719771141014803</v>
      </c>
      <c r="X195" t="e">
        <f t="shared" si="23"/>
        <v>#DIV/0!</v>
      </c>
    </row>
    <row r="196" spans="1:24">
      <c r="A196">
        <f t="shared" si="17"/>
        <v>2518.7950000000001</v>
      </c>
      <c r="B196">
        <v>2448</v>
      </c>
      <c r="C196">
        <v>15</v>
      </c>
      <c r="D196">
        <v>100</v>
      </c>
      <c r="E196">
        <v>18.5</v>
      </c>
      <c r="F196">
        <v>100</v>
      </c>
      <c r="I196">
        <v>83.590999999999994</v>
      </c>
      <c r="J196">
        <v>-45.8</v>
      </c>
      <c r="K196">
        <f t="shared" si="24"/>
        <v>70</v>
      </c>
      <c r="N196" s="1"/>
      <c r="O196" s="1">
        <v>0.21466666666666667</v>
      </c>
      <c r="P196">
        <f t="shared" si="18"/>
        <v>86.845257285354791</v>
      </c>
      <c r="Q196">
        <f t="shared" si="19"/>
        <v>86.666866672301452</v>
      </c>
      <c r="R196" t="e">
        <f t="shared" si="20"/>
        <v>#NUM!</v>
      </c>
      <c r="V196">
        <f t="shared" si="21"/>
        <v>-24.383389158223032</v>
      </c>
      <c r="W196">
        <f t="shared" si="22"/>
        <v>-24.383389158223032</v>
      </c>
      <c r="X196" t="e">
        <f t="shared" si="23"/>
        <v>#DIV/0!</v>
      </c>
    </row>
    <row r="197" spans="1:24">
      <c r="A197">
        <f t="shared" si="17"/>
        <v>2519.2950000000001</v>
      </c>
      <c r="B197">
        <v>2516</v>
      </c>
      <c r="C197">
        <v>16</v>
      </c>
      <c r="D197">
        <v>30</v>
      </c>
      <c r="E197">
        <v>20</v>
      </c>
      <c r="F197">
        <v>30</v>
      </c>
      <c r="I197">
        <v>83.807000000000002</v>
      </c>
      <c r="J197">
        <v>-48.55</v>
      </c>
      <c r="K197">
        <f t="shared" si="24"/>
        <v>70</v>
      </c>
      <c r="N197" s="1"/>
      <c r="O197" s="1">
        <v>0.22875000000000001</v>
      </c>
      <c r="P197">
        <f t="shared" si="18"/>
        <v>87.391748424026332</v>
      </c>
      <c r="Q197">
        <f t="shared" si="19"/>
        <v>87.329948684187471</v>
      </c>
      <c r="R197" t="e">
        <f t="shared" si="20"/>
        <v>#NUM!</v>
      </c>
      <c r="V197">
        <f t="shared" si="21"/>
        <v>-22.838483301507111</v>
      </c>
      <c r="W197">
        <f t="shared" si="22"/>
        <v>-22.838483301507111</v>
      </c>
      <c r="X197" t="e">
        <f t="shared" si="23"/>
        <v>#DIV/0!</v>
      </c>
    </row>
    <row r="198" spans="1:24">
      <c r="A198">
        <f t="shared" si="17"/>
        <v>2519.7950000000001</v>
      </c>
      <c r="B198">
        <v>2584</v>
      </c>
      <c r="C198">
        <v>16.5</v>
      </c>
      <c r="D198">
        <v>315</v>
      </c>
      <c r="E198">
        <v>21</v>
      </c>
      <c r="F198">
        <v>315</v>
      </c>
      <c r="I198">
        <v>83.796999999999997</v>
      </c>
      <c r="J198">
        <v>-45.54</v>
      </c>
      <c r="K198">
        <f t="shared" si="24"/>
        <v>-285</v>
      </c>
      <c r="N198" s="1"/>
      <c r="O198" s="1">
        <v>0.27124999999999999</v>
      </c>
      <c r="P198">
        <f t="shared" si="18"/>
        <v>87.616527655185976</v>
      </c>
      <c r="Q198">
        <f t="shared" si="19"/>
        <v>87.711234665586247</v>
      </c>
      <c r="R198" t="e">
        <f t="shared" si="20"/>
        <v>#NUM!</v>
      </c>
      <c r="V198">
        <f t="shared" si="21"/>
        <v>-26.293577444791012</v>
      </c>
      <c r="W198">
        <f t="shared" si="22"/>
        <v>-26.293577444791012</v>
      </c>
      <c r="X198" t="e">
        <f t="shared" si="23"/>
        <v>#DIV/0!</v>
      </c>
    </row>
    <row r="199" spans="1:24">
      <c r="A199">
        <f t="shared" si="17"/>
        <v>2520.2950000000001</v>
      </c>
      <c r="B199">
        <v>2656</v>
      </c>
      <c r="C199">
        <v>16.5</v>
      </c>
      <c r="D199">
        <v>235</v>
      </c>
      <c r="E199">
        <v>22</v>
      </c>
      <c r="F199">
        <v>235</v>
      </c>
      <c r="I199">
        <v>83.77</v>
      </c>
      <c r="J199">
        <v>-42.77</v>
      </c>
      <c r="K199">
        <f t="shared" si="24"/>
        <v>80</v>
      </c>
      <c r="N199" s="1"/>
      <c r="O199" s="1">
        <v>0.23499999999999999</v>
      </c>
      <c r="P199">
        <f t="shared" si="18"/>
        <v>87.652777655185972</v>
      </c>
      <c r="Q199">
        <f t="shared" si="19"/>
        <v>88.15155238735197</v>
      </c>
      <c r="R199" t="e">
        <f t="shared" si="20"/>
        <v>#NUM!</v>
      </c>
      <c r="V199">
        <f t="shared" si="21"/>
        <v>-30.540147714150265</v>
      </c>
      <c r="W199">
        <f t="shared" si="22"/>
        <v>-30.540147714150265</v>
      </c>
      <c r="X199" t="e">
        <f t="shared" si="23"/>
        <v>#DIV/0!</v>
      </c>
    </row>
    <row r="200" spans="1:24">
      <c r="A200">
        <f t="shared" si="17"/>
        <v>2520.7950000000001</v>
      </c>
      <c r="B200">
        <v>2728</v>
      </c>
      <c r="C200">
        <v>16.5</v>
      </c>
      <c r="D200">
        <v>155</v>
      </c>
      <c r="E200">
        <v>21.5</v>
      </c>
      <c r="F200">
        <v>155</v>
      </c>
      <c r="I200">
        <v>83.733999999999995</v>
      </c>
      <c r="J200">
        <v>-45.25</v>
      </c>
      <c r="K200">
        <f t="shared" si="24"/>
        <v>80</v>
      </c>
      <c r="N200" s="1"/>
      <c r="O200" s="1">
        <v>5.4999999999999966E-2</v>
      </c>
      <c r="P200">
        <f t="shared" si="18"/>
        <v>87.832777655185964</v>
      </c>
      <c r="Q200">
        <f t="shared" si="19"/>
        <v>88.13186796921994</v>
      </c>
      <c r="R200" t="e">
        <f t="shared" si="20"/>
        <v>#NUM!</v>
      </c>
      <c r="V200">
        <f t="shared" si="21"/>
        <v>-34.786717983510158</v>
      </c>
      <c r="W200">
        <f t="shared" si="22"/>
        <v>-34.786717983510158</v>
      </c>
      <c r="X200" t="e">
        <f t="shared" si="23"/>
        <v>#DIV/0!</v>
      </c>
    </row>
    <row r="201" spans="1:24">
      <c r="A201">
        <f t="shared" si="17"/>
        <v>2521.2950000000001</v>
      </c>
      <c r="B201">
        <v>2802</v>
      </c>
      <c r="C201">
        <v>16</v>
      </c>
      <c r="D201">
        <v>75</v>
      </c>
      <c r="E201">
        <v>21</v>
      </c>
      <c r="F201">
        <v>75</v>
      </c>
      <c r="I201">
        <v>83.135000000000005</v>
      </c>
      <c r="J201">
        <v>-47.47</v>
      </c>
      <c r="K201">
        <f t="shared" si="24"/>
        <v>80</v>
      </c>
      <c r="N201" s="1"/>
      <c r="O201" s="1">
        <v>-0.1</v>
      </c>
      <c r="P201">
        <f t="shared" si="18"/>
        <v>87.720498424026331</v>
      </c>
      <c r="Q201">
        <f t="shared" si="19"/>
        <v>88.082484665586236</v>
      </c>
      <c r="R201" t="e">
        <f t="shared" si="20"/>
        <v>#NUM!</v>
      </c>
      <c r="V201">
        <f t="shared" si="21"/>
        <v>-36.929026315907336</v>
      </c>
      <c r="W201">
        <f t="shared" si="22"/>
        <v>-36.929026315907336</v>
      </c>
      <c r="X201" t="e">
        <f t="shared" si="23"/>
        <v>#DIV/0!</v>
      </c>
    </row>
    <row r="202" spans="1:24">
      <c r="A202">
        <f t="shared" si="17"/>
        <v>2521.7950000000001</v>
      </c>
      <c r="B202">
        <v>2880</v>
      </c>
      <c r="C202">
        <v>16</v>
      </c>
      <c r="D202">
        <v>355</v>
      </c>
      <c r="E202">
        <v>20</v>
      </c>
      <c r="F202">
        <v>350</v>
      </c>
      <c r="I202">
        <v>82.563000000000002</v>
      </c>
      <c r="J202">
        <v>-39.75</v>
      </c>
      <c r="K202">
        <f t="shared" si="24"/>
        <v>-275</v>
      </c>
      <c r="N202" s="1"/>
      <c r="O202" s="1">
        <v>-0.1</v>
      </c>
      <c r="P202">
        <f t="shared" si="18"/>
        <v>87.720498424026331</v>
      </c>
      <c r="Q202">
        <f t="shared" si="19"/>
        <v>87.65869868418747</v>
      </c>
      <c r="R202" t="e">
        <f t="shared" si="20"/>
        <v>#NUM!</v>
      </c>
      <c r="V202">
        <f t="shared" si="21"/>
        <v>-34.862810774380364</v>
      </c>
      <c r="W202">
        <f t="shared" si="22"/>
        <v>-39.862810774380506</v>
      </c>
      <c r="X202" t="e">
        <f t="shared" si="23"/>
        <v>#DIV/0!</v>
      </c>
    </row>
    <row r="203" spans="1:24">
      <c r="A203">
        <f t="shared" si="17"/>
        <v>2522.2950000000001</v>
      </c>
      <c r="B203">
        <v>2958</v>
      </c>
      <c r="C203">
        <v>15.5</v>
      </c>
      <c r="D203">
        <v>270</v>
      </c>
      <c r="E203">
        <v>19</v>
      </c>
      <c r="F203">
        <v>265</v>
      </c>
      <c r="I203">
        <v>82.906000000000006</v>
      </c>
      <c r="J203">
        <v>-28.55</v>
      </c>
      <c r="K203">
        <f t="shared" si="24"/>
        <v>85</v>
      </c>
      <c r="N203" s="1"/>
      <c r="O203" s="1">
        <v>-0.1</v>
      </c>
      <c r="P203">
        <f t="shared" si="18"/>
        <v>87.444732734313675</v>
      </c>
      <c r="Q203">
        <f t="shared" si="19"/>
        <v>87.213170789964423</v>
      </c>
      <c r="R203" t="e">
        <f t="shared" si="20"/>
        <v>#NUM!</v>
      </c>
      <c r="V203">
        <f t="shared" si="21"/>
        <v>-37.796595232852894</v>
      </c>
      <c r="W203">
        <f t="shared" si="22"/>
        <v>-42.796595232853036</v>
      </c>
      <c r="X203" t="e">
        <f t="shared" si="23"/>
        <v>#DIV/0!</v>
      </c>
    </row>
    <row r="204" spans="1:24">
      <c r="A204">
        <f t="shared" si="17"/>
        <v>2522.7950000000001</v>
      </c>
      <c r="B204">
        <v>3040</v>
      </c>
      <c r="C204">
        <v>15</v>
      </c>
      <c r="D204">
        <v>185</v>
      </c>
      <c r="E204">
        <v>17.5</v>
      </c>
      <c r="F204">
        <v>180</v>
      </c>
      <c r="I204">
        <v>83.445999999999998</v>
      </c>
      <c r="J204">
        <v>-22.18</v>
      </c>
      <c r="K204">
        <f t="shared" si="24"/>
        <v>85</v>
      </c>
      <c r="N204" s="1"/>
      <c r="O204" s="1">
        <v>-6.3157894736842107E-2</v>
      </c>
      <c r="P204">
        <f t="shared" si="18"/>
        <v>87.123081846758311</v>
      </c>
      <c r="Q204">
        <f t="shared" si="19"/>
        <v>86.462017639370586</v>
      </c>
      <c r="R204" t="e">
        <f t="shared" si="20"/>
        <v>#NUM!</v>
      </c>
      <c r="V204">
        <f t="shared" si="21"/>
        <v>-36.521855817401274</v>
      </c>
      <c r="W204">
        <f t="shared" si="22"/>
        <v>-41.521855817401416</v>
      </c>
      <c r="X204" t="e">
        <f t="shared" si="23"/>
        <v>#DIV/0!</v>
      </c>
    </row>
    <row r="205" spans="1:24">
      <c r="A205">
        <f t="shared" si="17"/>
        <v>2523.2950000000001</v>
      </c>
      <c r="B205">
        <v>3124</v>
      </c>
      <c r="C205">
        <v>13.5</v>
      </c>
      <c r="D205">
        <v>100</v>
      </c>
      <c r="E205">
        <v>15.5</v>
      </c>
      <c r="F205">
        <v>90</v>
      </c>
      <c r="I205">
        <v>83.516000000000005</v>
      </c>
      <c r="J205">
        <v>-16.989999999999998</v>
      </c>
      <c r="K205">
        <f t="shared" si="24"/>
        <v>90</v>
      </c>
      <c r="N205" s="1"/>
      <c r="O205" s="1">
        <v>-1.8947368421052629E-2</v>
      </c>
      <c r="P205">
        <f t="shared" si="18"/>
        <v>86.163721509229021</v>
      </c>
      <c r="Q205">
        <f t="shared" si="19"/>
        <v>85.363680102734719</v>
      </c>
      <c r="R205" t="e">
        <f t="shared" si="20"/>
        <v>#NUM!</v>
      </c>
      <c r="V205">
        <f t="shared" si="21"/>
        <v>-33.142854464986939</v>
      </c>
      <c r="W205">
        <f t="shared" si="22"/>
        <v>-43.142854464987224</v>
      </c>
      <c r="X205" t="e">
        <f t="shared" si="23"/>
        <v>#DIV/0!</v>
      </c>
    </row>
    <row r="206" spans="1:24">
      <c r="A206">
        <f t="shared" si="17"/>
        <v>2523.7950000000001</v>
      </c>
      <c r="B206">
        <v>3208</v>
      </c>
      <c r="C206">
        <v>13.5</v>
      </c>
      <c r="D206">
        <v>10</v>
      </c>
      <c r="E206">
        <v>15.5</v>
      </c>
      <c r="F206">
        <v>10</v>
      </c>
      <c r="I206">
        <v>83.465999999999994</v>
      </c>
      <c r="J206">
        <v>-14.01</v>
      </c>
      <c r="K206">
        <f t="shared" si="24"/>
        <v>80</v>
      </c>
      <c r="N206" s="1"/>
      <c r="O206" s="1">
        <v>4.8000000000000001E-2</v>
      </c>
      <c r="P206">
        <f t="shared" si="18"/>
        <v>86.096774140807966</v>
      </c>
      <c r="Q206">
        <f t="shared" si="19"/>
        <v>85.296732734313665</v>
      </c>
      <c r="R206" t="e">
        <f t="shared" si="20"/>
        <v>#NUM!</v>
      </c>
      <c r="V206">
        <f t="shared" si="21"/>
        <v>-34.763853112573386</v>
      </c>
      <c r="W206">
        <f t="shared" si="22"/>
        <v>-34.763853112573386</v>
      </c>
      <c r="X206" t="e">
        <f t="shared" si="23"/>
        <v>#DIV/0!</v>
      </c>
    </row>
    <row r="207" spans="1:24">
      <c r="A207">
        <f t="shared" si="17"/>
        <v>2524.2950000000001</v>
      </c>
      <c r="B207">
        <v>3296</v>
      </c>
      <c r="C207">
        <v>14.5</v>
      </c>
      <c r="D207">
        <v>285</v>
      </c>
      <c r="E207">
        <v>16</v>
      </c>
      <c r="F207">
        <v>285</v>
      </c>
      <c r="I207">
        <v>83.361000000000004</v>
      </c>
      <c r="J207">
        <v>-13.07</v>
      </c>
      <c r="K207">
        <f t="shared" si="24"/>
        <v>-275</v>
      </c>
      <c r="N207" s="1"/>
      <c r="O207" s="1">
        <v>0.13600000000000001</v>
      </c>
      <c r="P207">
        <f t="shared" si="18"/>
        <v>86.62945881560735</v>
      </c>
      <c r="Q207">
        <f t="shared" si="19"/>
        <v>85.484498424026356</v>
      </c>
      <c r="R207" t="e">
        <f t="shared" si="20"/>
        <v>#NUM!</v>
      </c>
      <c r="V207">
        <f t="shared" si="21"/>
        <v>-27.176327886235541</v>
      </c>
      <c r="W207">
        <f t="shared" si="22"/>
        <v>-27.176327886235541</v>
      </c>
      <c r="X207" t="e">
        <f t="shared" si="23"/>
        <v>#DIV/0!</v>
      </c>
    </row>
    <row r="208" spans="1:24">
      <c r="A208">
        <f t="shared" si="17"/>
        <v>2524.7950000000001</v>
      </c>
      <c r="B208">
        <v>3386</v>
      </c>
      <c r="C208">
        <v>16</v>
      </c>
      <c r="D208">
        <v>185</v>
      </c>
      <c r="E208">
        <v>18.5</v>
      </c>
      <c r="F208">
        <v>190</v>
      </c>
      <c r="I208">
        <v>83.915999999999997</v>
      </c>
      <c r="J208">
        <v>-14.6</v>
      </c>
      <c r="K208">
        <f t="shared" si="24"/>
        <v>95</v>
      </c>
      <c r="N208" s="1"/>
      <c r="O208" s="1">
        <v>0.22476190476190477</v>
      </c>
      <c r="P208">
        <f t="shared" si="18"/>
        <v>87.395736519264432</v>
      </c>
      <c r="Q208">
        <f t="shared" si="19"/>
        <v>86.65677143420622</v>
      </c>
      <c r="R208" t="e">
        <f t="shared" si="20"/>
        <v>#NUM!</v>
      </c>
      <c r="V208">
        <f t="shared" si="21"/>
        <v>-32.484540722934128</v>
      </c>
      <c r="W208">
        <f t="shared" si="22"/>
        <v>-27.484540722933986</v>
      </c>
      <c r="X208" t="e">
        <f t="shared" si="23"/>
        <v>#DIV/0!</v>
      </c>
    </row>
    <row r="209" spans="1:24">
      <c r="A209">
        <f t="shared" si="17"/>
        <v>2525.2950000000001</v>
      </c>
      <c r="B209">
        <v>3480</v>
      </c>
      <c r="C209">
        <v>16</v>
      </c>
      <c r="D209">
        <v>85</v>
      </c>
      <c r="E209">
        <v>19.5</v>
      </c>
      <c r="F209">
        <v>90</v>
      </c>
      <c r="I209">
        <v>84.677999999999997</v>
      </c>
      <c r="J209">
        <v>-22.61</v>
      </c>
      <c r="K209">
        <f t="shared" si="24"/>
        <v>100</v>
      </c>
      <c r="N209" s="1"/>
      <c r="O209" s="1">
        <v>0.31428571428571428</v>
      </c>
      <c r="P209">
        <f t="shared" si="18"/>
        <v>87.30621270974062</v>
      </c>
      <c r="Q209">
        <f t="shared" si="19"/>
        <v>87.0245052838725</v>
      </c>
      <c r="R209" t="e">
        <f t="shared" si="20"/>
        <v>#NUM!</v>
      </c>
      <c r="V209">
        <f t="shared" si="21"/>
        <v>-33.584229685709204</v>
      </c>
      <c r="W209">
        <f t="shared" si="22"/>
        <v>-28.584229685709062</v>
      </c>
      <c r="X209" t="e">
        <f t="shared" si="23"/>
        <v>#DIV/0!</v>
      </c>
    </row>
    <row r="210" spans="1:24">
      <c r="A210">
        <f t="shared" si="17"/>
        <v>2525.7950000000001</v>
      </c>
      <c r="B210">
        <v>3574</v>
      </c>
      <c r="C210">
        <v>15.5</v>
      </c>
      <c r="D210">
        <v>345</v>
      </c>
      <c r="E210">
        <v>19.5</v>
      </c>
      <c r="F210">
        <v>350</v>
      </c>
      <c r="I210">
        <v>85.369</v>
      </c>
      <c r="J210">
        <v>-31.75</v>
      </c>
      <c r="K210">
        <f t="shared" si="24"/>
        <v>-260</v>
      </c>
      <c r="N210" s="1"/>
      <c r="O210" s="1">
        <v>0.40521739130434786</v>
      </c>
      <c r="P210">
        <f t="shared" si="18"/>
        <v>86.939515343009333</v>
      </c>
      <c r="Q210">
        <f t="shared" si="19"/>
        <v>86.933573606853869</v>
      </c>
      <c r="R210" t="e">
        <f t="shared" si="20"/>
        <v>#NUM!</v>
      </c>
      <c r="V210">
        <f t="shared" si="21"/>
        <v>-34.68391864848428</v>
      </c>
      <c r="W210">
        <f t="shared" si="22"/>
        <v>-29.683918648484777</v>
      </c>
      <c r="X210" t="e">
        <f t="shared" si="23"/>
        <v>#DIV/0!</v>
      </c>
    </row>
    <row r="211" spans="1:24">
      <c r="A211">
        <f t="shared" si="17"/>
        <v>2526.2950000000001</v>
      </c>
      <c r="B211">
        <v>3672</v>
      </c>
      <c r="C211">
        <v>16</v>
      </c>
      <c r="D211">
        <v>240</v>
      </c>
      <c r="E211">
        <v>20.5</v>
      </c>
      <c r="F211">
        <v>245</v>
      </c>
      <c r="I211">
        <v>86.194999999999993</v>
      </c>
      <c r="J211">
        <v>-39.32</v>
      </c>
      <c r="K211">
        <f t="shared" si="24"/>
        <v>105</v>
      </c>
      <c r="N211" s="1"/>
      <c r="O211" s="1">
        <v>0.53304347826086951</v>
      </c>
      <c r="P211">
        <f t="shared" si="18"/>
        <v>87.087454945765472</v>
      </c>
      <c r="Q211">
        <f t="shared" si="19"/>
        <v>87.240132513762063</v>
      </c>
      <c r="R211" t="e">
        <f t="shared" si="20"/>
        <v>#NUM!</v>
      </c>
      <c r="V211">
        <f t="shared" si="21"/>
        <v>-36.575083737334708</v>
      </c>
      <c r="W211">
        <f t="shared" si="22"/>
        <v>-31.575083737334566</v>
      </c>
      <c r="X211" t="e">
        <f t="shared" si="23"/>
        <v>#DIV/0!</v>
      </c>
    </row>
    <row r="212" spans="1:24">
      <c r="A212">
        <f t="shared" ref="A212:A274" si="25">+A211+0.5</f>
        <v>2526.7950000000001</v>
      </c>
      <c r="B212">
        <v>3772</v>
      </c>
      <c r="C212">
        <v>16.8</v>
      </c>
      <c r="D212">
        <v>130</v>
      </c>
      <c r="E212">
        <v>22.5</v>
      </c>
      <c r="F212">
        <v>135</v>
      </c>
      <c r="I212">
        <v>86.106999999999999</v>
      </c>
      <c r="J212">
        <v>-42.9</v>
      </c>
      <c r="K212">
        <f t="shared" si="24"/>
        <v>110</v>
      </c>
      <c r="N212" s="1"/>
      <c r="O212" s="1">
        <v>0.66347826086956518</v>
      </c>
      <c r="P212">
        <f t="shared" si="18"/>
        <v>87.380806144555535</v>
      </c>
      <c r="Q212">
        <f t="shared" si="19"/>
        <v>87.918270872265538</v>
      </c>
      <c r="R212" t="e">
        <f t="shared" si="20"/>
        <v>#NUM!</v>
      </c>
      <c r="V212">
        <f t="shared" si="21"/>
        <v>-41.361986889223203</v>
      </c>
      <c r="W212">
        <f t="shared" si="22"/>
        <v>-36.361986889223061</v>
      </c>
      <c r="X212" t="e">
        <f t="shared" si="23"/>
        <v>#DIV/0!</v>
      </c>
    </row>
    <row r="213" spans="1:24">
      <c r="A213">
        <f t="shared" si="25"/>
        <v>2527.2950000000001</v>
      </c>
      <c r="B213">
        <v>3876</v>
      </c>
      <c r="C213">
        <v>16.8</v>
      </c>
      <c r="D213">
        <v>15</v>
      </c>
      <c r="E213">
        <v>24</v>
      </c>
      <c r="F213">
        <v>20</v>
      </c>
      <c r="I213">
        <v>86.037000000000006</v>
      </c>
      <c r="J213">
        <v>-45.84</v>
      </c>
      <c r="K213">
        <f t="shared" si="24"/>
        <v>115</v>
      </c>
      <c r="N213" s="1"/>
      <c r="O213" s="1">
        <v>0.7</v>
      </c>
      <c r="P213">
        <f t="shared" si="18"/>
        <v>87.3442844054251</v>
      </c>
      <c r="Q213">
        <f t="shared" si="19"/>
        <v>88.442323605139947</v>
      </c>
      <c r="R213" t="e">
        <f t="shared" si="20"/>
        <v>#NUM!</v>
      </c>
      <c r="V213">
        <f t="shared" si="21"/>
        <v>-46.940366167187051</v>
      </c>
      <c r="W213">
        <f t="shared" si="22"/>
        <v>-41.940366167186909</v>
      </c>
      <c r="X213" t="e">
        <f t="shared" si="23"/>
        <v>#DIV/0!</v>
      </c>
    </row>
    <row r="214" spans="1:24">
      <c r="A214">
        <f t="shared" si="25"/>
        <v>2527.7950000000001</v>
      </c>
      <c r="B214">
        <v>3982</v>
      </c>
      <c r="C214">
        <v>16</v>
      </c>
      <c r="D214">
        <v>260</v>
      </c>
      <c r="E214">
        <v>24</v>
      </c>
      <c r="F214">
        <v>260</v>
      </c>
      <c r="I214">
        <v>85.98</v>
      </c>
      <c r="J214">
        <v>-49.03</v>
      </c>
      <c r="K214">
        <f t="shared" si="24"/>
        <v>-240</v>
      </c>
      <c r="N214" s="1"/>
      <c r="O214" s="1">
        <v>0.7</v>
      </c>
      <c r="P214">
        <f t="shared" si="18"/>
        <v>86.920498424026334</v>
      </c>
      <c r="Q214">
        <f t="shared" si="19"/>
        <v>88.442323605139947</v>
      </c>
      <c r="R214" t="e">
        <f t="shared" si="20"/>
        <v>#NUM!</v>
      </c>
      <c r="V214">
        <f t="shared" si="21"/>
        <v>-50.414483508188184</v>
      </c>
      <c r="W214">
        <f t="shared" si="22"/>
        <v>-50.414483508188184</v>
      </c>
      <c r="X214" t="e">
        <f t="shared" si="23"/>
        <v>#DIV/0!</v>
      </c>
    </row>
    <row r="215" spans="1:24">
      <c r="A215">
        <f t="shared" si="25"/>
        <v>2528.2950000000001</v>
      </c>
      <c r="B215">
        <v>4092</v>
      </c>
      <c r="C215">
        <v>15.5</v>
      </c>
      <c r="D215">
        <v>145</v>
      </c>
      <c r="E215">
        <v>22</v>
      </c>
      <c r="F215">
        <v>145</v>
      </c>
      <c r="I215">
        <v>85.822999999999993</v>
      </c>
      <c r="J215">
        <v>-49.74</v>
      </c>
      <c r="K215">
        <f t="shared" si="24"/>
        <v>115</v>
      </c>
      <c r="N215" s="1"/>
      <c r="O215" s="1">
        <v>0.7208</v>
      </c>
      <c r="P215">
        <f t="shared" si="18"/>
        <v>86.623932734313684</v>
      </c>
      <c r="Q215">
        <f t="shared" si="19"/>
        <v>87.665752387351972</v>
      </c>
      <c r="R215" t="e">
        <f t="shared" si="20"/>
        <v>#NUM!</v>
      </c>
      <c r="V215">
        <f t="shared" si="21"/>
        <v>-49.680076975265166</v>
      </c>
      <c r="W215">
        <f t="shared" si="22"/>
        <v>-49.680076975265166</v>
      </c>
      <c r="X215" t="e">
        <f t="shared" si="23"/>
        <v>#DIV/0!</v>
      </c>
    </row>
    <row r="216" spans="1:24">
      <c r="A216">
        <f t="shared" si="25"/>
        <v>2528.7950000000001</v>
      </c>
      <c r="B216">
        <v>4202</v>
      </c>
      <c r="C216">
        <v>16</v>
      </c>
      <c r="D216">
        <v>30</v>
      </c>
      <c r="E216">
        <v>21</v>
      </c>
      <c r="F216">
        <v>30</v>
      </c>
      <c r="I216">
        <v>85.756</v>
      </c>
      <c r="J216">
        <v>-54.57</v>
      </c>
      <c r="K216">
        <f t="shared" si="24"/>
        <v>115</v>
      </c>
      <c r="N216" s="1"/>
      <c r="O216" s="1">
        <v>0.76480000000000004</v>
      </c>
      <c r="P216">
        <f t="shared" si="18"/>
        <v>86.855698424026343</v>
      </c>
      <c r="Q216">
        <f t="shared" si="19"/>
        <v>87.217684665586248</v>
      </c>
      <c r="R216" t="e">
        <f t="shared" si="20"/>
        <v>#NUM!</v>
      </c>
      <c r="V216">
        <f t="shared" si="21"/>
        <v>-48.945670442342148</v>
      </c>
      <c r="W216">
        <f t="shared" si="22"/>
        <v>-48.945670442342148</v>
      </c>
      <c r="X216" t="e">
        <f t="shared" si="23"/>
        <v>#DIV/0!</v>
      </c>
    </row>
    <row r="217" spans="1:24">
      <c r="A217">
        <f t="shared" si="25"/>
        <v>2529.2950000000001</v>
      </c>
      <c r="B217">
        <v>4318</v>
      </c>
      <c r="C217">
        <v>17</v>
      </c>
      <c r="D217">
        <v>270</v>
      </c>
      <c r="E217">
        <v>22.5</v>
      </c>
      <c r="F217">
        <v>270</v>
      </c>
      <c r="I217">
        <v>85.89</v>
      </c>
      <c r="J217">
        <v>-61.48</v>
      </c>
      <c r="K217">
        <f t="shared" si="24"/>
        <v>-240</v>
      </c>
      <c r="N217" s="1"/>
      <c r="O217" s="1">
        <v>0.81</v>
      </c>
      <c r="P217">
        <f t="shared" si="18"/>
        <v>87.337077198473324</v>
      </c>
      <c r="Q217">
        <f t="shared" si="19"/>
        <v>87.771749133135103</v>
      </c>
      <c r="R217" t="e">
        <f t="shared" si="20"/>
        <v>#NUM!</v>
      </c>
      <c r="V217">
        <f t="shared" si="21"/>
        <v>-46.898478098532408</v>
      </c>
      <c r="W217">
        <f t="shared" si="22"/>
        <v>-46.898478098532408</v>
      </c>
      <c r="X217" t="e">
        <f t="shared" si="23"/>
        <v>#DIV/0!</v>
      </c>
    </row>
    <row r="218" spans="1:24">
      <c r="A218">
        <f t="shared" si="25"/>
        <v>2529.7950000000001</v>
      </c>
      <c r="B218">
        <v>4436</v>
      </c>
      <c r="C218">
        <v>17.5</v>
      </c>
      <c r="D218">
        <v>140</v>
      </c>
      <c r="E218">
        <v>23.5</v>
      </c>
      <c r="F218">
        <v>140</v>
      </c>
      <c r="I218">
        <v>85.94</v>
      </c>
      <c r="J218">
        <v>-67.09</v>
      </c>
      <c r="K218">
        <f t="shared" si="24"/>
        <v>130</v>
      </c>
      <c r="N218" s="1"/>
      <c r="O218" s="1">
        <v>0.8521428571428572</v>
      </c>
      <c r="P218">
        <f t="shared" si="18"/>
        <v>87.546716887490874</v>
      </c>
      <c r="Q218">
        <f t="shared" si="19"/>
        <v>88.107313159199705</v>
      </c>
      <c r="R218" t="e">
        <f t="shared" si="20"/>
        <v>#NUM!</v>
      </c>
      <c r="V218">
        <f t="shared" si="21"/>
        <v>-52.747023817760237</v>
      </c>
      <c r="W218">
        <f t="shared" si="22"/>
        <v>-52.747023817760237</v>
      </c>
      <c r="X218" t="e">
        <f t="shared" si="23"/>
        <v>#DIV/0!</v>
      </c>
    </row>
    <row r="219" spans="1:24">
      <c r="A219">
        <f t="shared" si="25"/>
        <v>2530.2950000000001</v>
      </c>
      <c r="B219">
        <v>4558</v>
      </c>
      <c r="C219">
        <v>16.5</v>
      </c>
      <c r="D219">
        <v>10</v>
      </c>
      <c r="E219">
        <v>22</v>
      </c>
      <c r="F219">
        <v>10</v>
      </c>
      <c r="I219">
        <v>86.063000000000002</v>
      </c>
      <c r="J219">
        <v>-70.64</v>
      </c>
      <c r="K219">
        <f t="shared" si="24"/>
        <v>130</v>
      </c>
      <c r="N219" s="1"/>
      <c r="O219" s="1">
        <v>0.89571428571428569</v>
      </c>
      <c r="P219">
        <f t="shared" si="18"/>
        <v>86.99206336947168</v>
      </c>
      <c r="Q219">
        <f t="shared" si="19"/>
        <v>87.490838101637678</v>
      </c>
      <c r="R219" t="e">
        <f t="shared" si="20"/>
        <v>#NUM!</v>
      </c>
      <c r="V219">
        <f t="shared" si="21"/>
        <v>-54.387045663063915</v>
      </c>
      <c r="W219">
        <f t="shared" si="22"/>
        <v>-54.387045663063915</v>
      </c>
      <c r="X219" t="e">
        <f t="shared" si="23"/>
        <v>#DIV/0!</v>
      </c>
    </row>
    <row r="220" spans="1:24">
      <c r="A220">
        <f t="shared" si="25"/>
        <v>2530.7950000000001</v>
      </c>
      <c r="B220">
        <v>4682</v>
      </c>
      <c r="C220">
        <v>16.5</v>
      </c>
      <c r="D220">
        <v>235</v>
      </c>
      <c r="E220">
        <v>21</v>
      </c>
      <c r="F220">
        <v>240</v>
      </c>
      <c r="I220">
        <v>86.177000000000007</v>
      </c>
      <c r="J220">
        <v>-81.39</v>
      </c>
      <c r="K220">
        <f t="shared" si="24"/>
        <v>-230</v>
      </c>
      <c r="N220" s="1"/>
      <c r="O220" s="1">
        <v>1.0158620689655173</v>
      </c>
      <c r="P220">
        <f t="shared" si="18"/>
        <v>86.871915586220453</v>
      </c>
      <c r="Q220">
        <f t="shared" si="19"/>
        <v>86.966622596620724</v>
      </c>
      <c r="R220" t="e">
        <f t="shared" si="20"/>
        <v>#NUM!</v>
      </c>
      <c r="V220">
        <f t="shared" si="21"/>
        <v>-58.922805571405021</v>
      </c>
      <c r="W220">
        <f t="shared" si="22"/>
        <v>-53.922805571405519</v>
      </c>
      <c r="X220" t="e">
        <f t="shared" si="23"/>
        <v>#DIV/0!</v>
      </c>
    </row>
    <row r="221" spans="1:24">
      <c r="A221">
        <f t="shared" si="25"/>
        <v>2531.2950000000001</v>
      </c>
      <c r="B221">
        <v>4810</v>
      </c>
      <c r="C221">
        <v>16.5</v>
      </c>
      <c r="D221">
        <v>90</v>
      </c>
      <c r="E221">
        <v>21.5</v>
      </c>
      <c r="F221">
        <v>100</v>
      </c>
      <c r="I221">
        <v>86.32</v>
      </c>
      <c r="J221">
        <v>-91.74</v>
      </c>
      <c r="K221">
        <f t="shared" si="24"/>
        <v>140</v>
      </c>
      <c r="N221" s="1"/>
      <c r="O221" s="1">
        <v>1.1482758620689655</v>
      </c>
      <c r="P221">
        <f t="shared" si="18"/>
        <v>86.739501793117</v>
      </c>
      <c r="Q221">
        <f t="shared" si="19"/>
        <v>87.038592107150976</v>
      </c>
      <c r="R221" t="e">
        <f t="shared" si="20"/>
        <v>#NUM!</v>
      </c>
      <c r="V221">
        <f t="shared" si="21"/>
        <v>-69.250041605822261</v>
      </c>
      <c r="W221">
        <f t="shared" si="22"/>
        <v>-59.250041605821977</v>
      </c>
      <c r="X221" t="e">
        <f t="shared" si="23"/>
        <v>#DIV/0!</v>
      </c>
    </row>
    <row r="222" spans="1:24">
      <c r="A222">
        <f t="shared" si="25"/>
        <v>2531.7950000000001</v>
      </c>
      <c r="B222">
        <v>4942</v>
      </c>
      <c r="C222">
        <v>15.3</v>
      </c>
      <c r="D222">
        <v>305</v>
      </c>
      <c r="E222">
        <v>19.5</v>
      </c>
      <c r="F222">
        <v>315</v>
      </c>
      <c r="I222">
        <v>86.552999999999997</v>
      </c>
      <c r="J222">
        <v>-99.18</v>
      </c>
      <c r="K222">
        <f t="shared" si="24"/>
        <v>-215</v>
      </c>
      <c r="N222" s="1"/>
      <c r="O222" s="1">
        <v>1.2546666666666666</v>
      </c>
      <c r="P222">
        <f t="shared" si="18"/>
        <v>85.977260720593165</v>
      </c>
      <c r="Q222">
        <f t="shared" si="19"/>
        <v>86.084124331491552</v>
      </c>
      <c r="R222" t="e">
        <f t="shared" si="20"/>
        <v>#NUM!</v>
      </c>
      <c r="V222">
        <f t="shared" si="21"/>
        <v>-75.368753766315351</v>
      </c>
      <c r="W222">
        <f t="shared" si="22"/>
        <v>-65.368753766315066</v>
      </c>
      <c r="X222" t="e">
        <f t="shared" si="23"/>
        <v>#DIV/0!</v>
      </c>
    </row>
    <row r="223" spans="1:24">
      <c r="A223">
        <f t="shared" si="25"/>
        <v>2532.2950000000001</v>
      </c>
      <c r="B223">
        <v>5078</v>
      </c>
      <c r="C223">
        <v>14.8</v>
      </c>
      <c r="D223">
        <v>160</v>
      </c>
      <c r="E223">
        <v>18.5</v>
      </c>
      <c r="F223">
        <v>175</v>
      </c>
      <c r="I223">
        <v>86.634</v>
      </c>
      <c r="J223">
        <v>-100.6</v>
      </c>
      <c r="K223">
        <f t="shared" si="24"/>
        <v>140</v>
      </c>
      <c r="N223" s="1"/>
      <c r="O223" s="1">
        <v>1.3453333333333333</v>
      </c>
      <c r="P223">
        <f t="shared" si="18"/>
        <v>85.597999745473658</v>
      </c>
      <c r="Q223">
        <f t="shared" si="19"/>
        <v>85.536200005634797</v>
      </c>
      <c r="R223" t="e">
        <f t="shared" si="20"/>
        <v>#NUM!</v>
      </c>
      <c r="V223">
        <f t="shared" si="21"/>
        <v>-77.278942052883011</v>
      </c>
      <c r="W223">
        <f t="shared" si="22"/>
        <v>-62.278942052883224</v>
      </c>
      <c r="X223" t="e">
        <f t="shared" si="23"/>
        <v>#DIV/0!</v>
      </c>
    </row>
    <row r="224" spans="1:24">
      <c r="A224">
        <f t="shared" si="25"/>
        <v>2532.7950000000001</v>
      </c>
      <c r="B224">
        <v>5216</v>
      </c>
      <c r="C224">
        <v>14.8</v>
      </c>
      <c r="D224">
        <v>15</v>
      </c>
      <c r="E224">
        <v>18.5</v>
      </c>
      <c r="F224">
        <v>35</v>
      </c>
      <c r="I224">
        <v>86.677999999999997</v>
      </c>
      <c r="J224">
        <v>-98.85</v>
      </c>
      <c r="K224">
        <f t="shared" si="24"/>
        <v>140</v>
      </c>
      <c r="N224" s="1"/>
      <c r="O224" s="1">
        <v>1.416969696969697</v>
      </c>
      <c r="P224">
        <f t="shared" si="18"/>
        <v>85.526363381837285</v>
      </c>
      <c r="Q224">
        <f t="shared" si="19"/>
        <v>85.464563641998424</v>
      </c>
      <c r="R224" t="e">
        <f t="shared" si="20"/>
        <v>#NUM!</v>
      </c>
      <c r="V224">
        <f t="shared" si="21"/>
        <v>-77.084868402488596</v>
      </c>
      <c r="W224">
        <f t="shared" si="22"/>
        <v>-57.084868402488667</v>
      </c>
      <c r="X224" t="e">
        <f t="shared" si="23"/>
        <v>#DIV/0!</v>
      </c>
    </row>
    <row r="225" spans="1:24">
      <c r="A225">
        <f t="shared" si="25"/>
        <v>2533.2950000000001</v>
      </c>
      <c r="B225">
        <v>5360</v>
      </c>
      <c r="C225">
        <v>15.8</v>
      </c>
      <c r="D225">
        <v>230</v>
      </c>
      <c r="E225">
        <v>20</v>
      </c>
      <c r="F225">
        <v>250</v>
      </c>
      <c r="I225">
        <v>86.772000000000006</v>
      </c>
      <c r="J225">
        <v>-101.3</v>
      </c>
      <c r="K225">
        <f t="shared" si="24"/>
        <v>-215</v>
      </c>
      <c r="N225" s="1"/>
      <c r="O225" s="1">
        <v>1.4606060606060605</v>
      </c>
      <c r="P225">
        <f t="shared" si="18"/>
        <v>86.050634449390245</v>
      </c>
      <c r="Q225">
        <f t="shared" si="19"/>
        <v>86.098092623581422</v>
      </c>
      <c r="R225" t="e">
        <f t="shared" si="20"/>
        <v>#NUM!</v>
      </c>
      <c r="V225">
        <f t="shared" si="21"/>
        <v>-70.578008941207315</v>
      </c>
      <c r="W225">
        <f t="shared" si="22"/>
        <v>-50.578008941208026</v>
      </c>
      <c r="X225" t="e">
        <f t="shared" si="23"/>
        <v>#DIV/0!</v>
      </c>
    </row>
    <row r="226" spans="1:24">
      <c r="A226">
        <f t="shared" si="25"/>
        <v>2533.7950000000001</v>
      </c>
      <c r="B226">
        <v>5506</v>
      </c>
      <c r="C226">
        <v>16.5</v>
      </c>
      <c r="D226">
        <v>80</v>
      </c>
      <c r="E226">
        <v>22</v>
      </c>
      <c r="F226">
        <v>90</v>
      </c>
      <c r="I226">
        <v>86.933999999999997</v>
      </c>
      <c r="J226">
        <v>-103.9</v>
      </c>
      <c r="K226">
        <f t="shared" si="24"/>
        <v>160</v>
      </c>
      <c r="N226" s="1"/>
      <c r="O226" s="1">
        <v>1.5091428571428571</v>
      </c>
      <c r="P226">
        <f t="shared" si="18"/>
        <v>86.378634798043109</v>
      </c>
      <c r="Q226">
        <f t="shared" si="19"/>
        <v>86.877409530209107</v>
      </c>
      <c r="R226" t="e">
        <f t="shared" si="20"/>
        <v>#NUM!</v>
      </c>
      <c r="V226">
        <f t="shared" si="21"/>
        <v>-66.966887542964741</v>
      </c>
      <c r="W226">
        <f t="shared" si="22"/>
        <v>-56.966887542964457</v>
      </c>
      <c r="X226" t="e">
        <f t="shared" si="23"/>
        <v>#DIV/0!</v>
      </c>
    </row>
    <row r="227" spans="1:24">
      <c r="A227">
        <f t="shared" si="25"/>
        <v>2534.2950000000001</v>
      </c>
      <c r="B227">
        <v>5658</v>
      </c>
      <c r="C227">
        <v>15.5</v>
      </c>
      <c r="D227">
        <v>270</v>
      </c>
      <c r="E227">
        <v>22</v>
      </c>
      <c r="F227">
        <v>280</v>
      </c>
      <c r="I227">
        <v>87.134</v>
      </c>
      <c r="J227">
        <v>-103.4</v>
      </c>
      <c r="K227">
        <f t="shared" si="24"/>
        <v>-190</v>
      </c>
      <c r="N227" s="1"/>
      <c r="O227" s="1">
        <v>1.5960000000000001</v>
      </c>
      <c r="P227">
        <f t="shared" si="18"/>
        <v>85.748732734313677</v>
      </c>
      <c r="Q227">
        <f t="shared" si="19"/>
        <v>86.790552387351966</v>
      </c>
      <c r="R227" t="e">
        <f t="shared" si="20"/>
        <v>#NUM!</v>
      </c>
      <c r="V227">
        <f t="shared" si="21"/>
        <v>-77.042980333833952</v>
      </c>
      <c r="W227">
        <f t="shared" si="22"/>
        <v>-67.042980333833668</v>
      </c>
      <c r="X227" t="e">
        <f t="shared" si="23"/>
        <v>#DIV/0!</v>
      </c>
    </row>
    <row r="228" spans="1:24">
      <c r="A228">
        <f t="shared" si="25"/>
        <v>2534.7950000000001</v>
      </c>
      <c r="B228">
        <v>5812</v>
      </c>
      <c r="C228">
        <v>15.5</v>
      </c>
      <c r="D228">
        <v>110</v>
      </c>
      <c r="E228">
        <v>21</v>
      </c>
      <c r="F228">
        <v>115</v>
      </c>
      <c r="I228">
        <v>87.305000000000007</v>
      </c>
      <c r="J228">
        <v>-100.9</v>
      </c>
      <c r="K228">
        <f t="shared" si="24"/>
        <v>165</v>
      </c>
      <c r="N228" s="1"/>
      <c r="O228" s="1">
        <v>1.6839999999999999</v>
      </c>
      <c r="P228">
        <f t="shared" si="18"/>
        <v>85.660732734313683</v>
      </c>
      <c r="Q228">
        <f t="shared" si="19"/>
        <v>86.298484665586244</v>
      </c>
      <c r="R228" t="e">
        <f t="shared" si="20"/>
        <v>#NUM!</v>
      </c>
      <c r="V228">
        <f t="shared" si="21"/>
        <v>-75.014811187742083</v>
      </c>
      <c r="W228">
        <f t="shared" si="22"/>
        <v>-70.01481118774322</v>
      </c>
      <c r="X228" t="e">
        <f t="shared" si="23"/>
        <v>#DIV/0!</v>
      </c>
    </row>
    <row r="229" spans="1:24">
      <c r="A229">
        <f t="shared" si="25"/>
        <v>2535.2950000000001</v>
      </c>
      <c r="B229">
        <v>5970</v>
      </c>
      <c r="C229">
        <v>16</v>
      </c>
      <c r="D229">
        <v>300</v>
      </c>
      <c r="E229">
        <v>21</v>
      </c>
      <c r="F229">
        <v>300</v>
      </c>
      <c r="I229">
        <v>87.262</v>
      </c>
      <c r="J229">
        <v>-97.14</v>
      </c>
      <c r="K229">
        <f t="shared" si="24"/>
        <v>-185</v>
      </c>
      <c r="N229" s="1"/>
      <c r="O229" s="1">
        <v>1.7351351351351352</v>
      </c>
      <c r="P229">
        <f t="shared" si="18"/>
        <v>85.885363288891199</v>
      </c>
      <c r="Q229">
        <f t="shared" si="19"/>
        <v>86.247349530451103</v>
      </c>
      <c r="R229" t="e">
        <f t="shared" si="20"/>
        <v>#NUM!</v>
      </c>
      <c r="V229">
        <f t="shared" si="21"/>
        <v>-78.778118167726348</v>
      </c>
      <c r="W229">
        <f t="shared" si="22"/>
        <v>-78.778118167726348</v>
      </c>
      <c r="X229" t="e">
        <f t="shared" si="23"/>
        <v>#DIV/0!</v>
      </c>
    </row>
    <row r="230" spans="1:24">
      <c r="A230">
        <f t="shared" si="25"/>
        <v>2535.7950000000001</v>
      </c>
      <c r="B230">
        <v>6134</v>
      </c>
      <c r="C230">
        <v>16</v>
      </c>
      <c r="D230">
        <v>120</v>
      </c>
      <c r="E230">
        <v>21.5</v>
      </c>
      <c r="F230">
        <v>120</v>
      </c>
      <c r="I230">
        <v>87.131</v>
      </c>
      <c r="J230">
        <v>-90.53</v>
      </c>
      <c r="K230">
        <f t="shared" si="24"/>
        <v>180</v>
      </c>
      <c r="N230" s="1"/>
      <c r="O230" s="1">
        <v>1.7794594594594595</v>
      </c>
      <c r="P230">
        <f t="shared" si="18"/>
        <v>85.841038964566877</v>
      </c>
      <c r="Q230">
        <f t="shared" si="19"/>
        <v>86.407408509760486</v>
      </c>
      <c r="R230" t="e">
        <f t="shared" si="20"/>
        <v>#NUM!</v>
      </c>
      <c r="V230">
        <f t="shared" si="21"/>
        <v>-86.228639336822113</v>
      </c>
      <c r="W230">
        <f t="shared" si="22"/>
        <v>-86.228639336822113</v>
      </c>
      <c r="X230" t="e">
        <f t="shared" si="23"/>
        <v>#DIV/0!</v>
      </c>
    </row>
    <row r="231" spans="1:24">
      <c r="A231">
        <f t="shared" si="25"/>
        <v>2536.2950000000001</v>
      </c>
      <c r="B231">
        <v>6302</v>
      </c>
      <c r="C231">
        <v>16.5</v>
      </c>
      <c r="E231">
        <v>22</v>
      </c>
      <c r="I231">
        <v>87.051000000000002</v>
      </c>
      <c r="J231">
        <v>-81.75</v>
      </c>
      <c r="N231" s="1"/>
      <c r="O231" s="1">
        <v>1.7770000000000001</v>
      </c>
      <c r="P231">
        <f t="shared" si="18"/>
        <v>86.11077765518597</v>
      </c>
      <c r="Q231">
        <f t="shared" si="19"/>
        <v>86.609552387351968</v>
      </c>
      <c r="R231" t="e">
        <f t="shared" si="20"/>
        <v>#NUM!</v>
      </c>
    </row>
    <row r="232" spans="1:24">
      <c r="A232">
        <f t="shared" si="25"/>
        <v>2536.7950000000001</v>
      </c>
      <c r="B232">
        <v>6476</v>
      </c>
      <c r="C232">
        <v>16.5</v>
      </c>
      <c r="E232">
        <v>23</v>
      </c>
      <c r="I232">
        <v>86.945999999999998</v>
      </c>
      <c r="J232">
        <v>-70.62</v>
      </c>
      <c r="N232" s="1"/>
      <c r="O232" s="1">
        <v>1.7335</v>
      </c>
      <c r="P232">
        <f t="shared" si="18"/>
        <v>86.154277655185965</v>
      </c>
      <c r="Q232">
        <f t="shared" si="19"/>
        <v>87.039155491259706</v>
      </c>
      <c r="R232" t="e">
        <f t="shared" si="20"/>
        <v>#NUM!</v>
      </c>
    </row>
    <row r="233" spans="1:24">
      <c r="A233">
        <f t="shared" si="25"/>
        <v>2537.2950000000001</v>
      </c>
      <c r="B233">
        <v>6654</v>
      </c>
      <c r="C233">
        <v>16</v>
      </c>
      <c r="E233">
        <v>22</v>
      </c>
      <c r="I233">
        <v>86.828000000000003</v>
      </c>
      <c r="J233">
        <v>-64.08</v>
      </c>
      <c r="N233" s="1"/>
      <c r="O233" s="1">
        <v>1.6685714285714286</v>
      </c>
      <c r="P233">
        <f t="shared" ref="P233:P274" si="26">20*LOG(P$12*$C233/0.00002)-$N233-$O233+P$4</f>
        <v>85.951926995454912</v>
      </c>
      <c r="Q233">
        <f t="shared" ref="Q233:Q274" si="27">20*LOG(Q$12*$E233/0.00002)-$N233-$O233+Q$4</f>
        <v>86.717980958780544</v>
      </c>
      <c r="R233" t="e">
        <f t="shared" ref="R233:R274" si="28">20*LOG(R$12*$G233/0.00002)-$N233-$O233+R$4</f>
        <v>#NUM!</v>
      </c>
    </row>
    <row r="234" spans="1:24">
      <c r="A234">
        <f t="shared" si="25"/>
        <v>2537.7950000000001</v>
      </c>
      <c r="B234">
        <v>6834</v>
      </c>
      <c r="C234">
        <v>16</v>
      </c>
      <c r="E234">
        <v>24</v>
      </c>
      <c r="I234">
        <v>86.694000000000003</v>
      </c>
      <c r="J234">
        <v>-72.12</v>
      </c>
      <c r="N234" s="1"/>
      <c r="O234" s="1">
        <v>1.54</v>
      </c>
      <c r="P234">
        <f t="shared" si="26"/>
        <v>86.080498424026331</v>
      </c>
      <c r="Q234">
        <f t="shared" si="27"/>
        <v>87.602323605139944</v>
      </c>
      <c r="R234" t="e">
        <f t="shared" si="28"/>
        <v>#NUM!</v>
      </c>
    </row>
    <row r="235" spans="1:24">
      <c r="A235">
        <f t="shared" si="25"/>
        <v>2538.2950000000001</v>
      </c>
      <c r="B235">
        <v>7022</v>
      </c>
      <c r="C235">
        <v>15.5</v>
      </c>
      <c r="E235">
        <v>23.5</v>
      </c>
      <c r="I235">
        <v>86.460999999999999</v>
      </c>
      <c r="J235">
        <v>-91.73</v>
      </c>
      <c r="N235" s="1"/>
      <c r="O235" s="1">
        <v>1.4057142857142857</v>
      </c>
      <c r="P235">
        <f t="shared" si="26"/>
        <v>85.939018448599398</v>
      </c>
      <c r="Q235">
        <f t="shared" si="27"/>
        <v>87.553741730628275</v>
      </c>
      <c r="R235" t="e">
        <f t="shared" si="28"/>
        <v>#NUM!</v>
      </c>
    </row>
    <row r="236" spans="1:24">
      <c r="A236">
        <f t="shared" si="25"/>
        <v>2538.7950000000001</v>
      </c>
      <c r="B236">
        <v>7214</v>
      </c>
      <c r="C236">
        <v>15</v>
      </c>
      <c r="E236">
        <v>24</v>
      </c>
      <c r="I236">
        <v>86.155000000000001</v>
      </c>
      <c r="J236">
        <v>-106.3</v>
      </c>
      <c r="N236" s="1"/>
      <c r="O236" s="1">
        <v>1.4836363636363636</v>
      </c>
      <c r="P236">
        <f t="shared" si="26"/>
        <v>85.5762875883851</v>
      </c>
      <c r="Q236">
        <f t="shared" si="27"/>
        <v>87.658687241503586</v>
      </c>
      <c r="R236" t="e">
        <f t="shared" si="28"/>
        <v>#NUM!</v>
      </c>
    </row>
    <row r="237" spans="1:24">
      <c r="A237">
        <f t="shared" si="25"/>
        <v>2539.2950000000001</v>
      </c>
      <c r="B237">
        <v>7412</v>
      </c>
      <c r="C237">
        <v>15</v>
      </c>
      <c r="E237">
        <v>23</v>
      </c>
      <c r="I237">
        <v>85.902000000000001</v>
      </c>
      <c r="J237">
        <v>-107.9</v>
      </c>
      <c r="N237" s="1"/>
      <c r="O237" s="1">
        <v>1.5736363636363637</v>
      </c>
      <c r="P237">
        <f t="shared" si="26"/>
        <v>85.486287588385096</v>
      </c>
      <c r="Q237">
        <f t="shared" si="27"/>
        <v>87.199019127623345</v>
      </c>
      <c r="R237" t="e">
        <f t="shared" si="28"/>
        <v>#NUM!</v>
      </c>
    </row>
    <row r="238" spans="1:24">
      <c r="A238">
        <f t="shared" si="25"/>
        <v>2539.7950000000001</v>
      </c>
      <c r="B238">
        <v>7614</v>
      </c>
      <c r="C238">
        <v>16</v>
      </c>
      <c r="E238">
        <v>28</v>
      </c>
      <c r="I238">
        <v>85.727000000000004</v>
      </c>
      <c r="J238">
        <v>-108.4</v>
      </c>
      <c r="N238" s="1"/>
      <c r="O238" s="1">
        <v>1.69</v>
      </c>
      <c r="P238">
        <f t="shared" si="26"/>
        <v>85.930498424026339</v>
      </c>
      <c r="Q238">
        <f t="shared" si="27"/>
        <v>88.791259397752242</v>
      </c>
      <c r="R238" t="e">
        <f t="shared" si="28"/>
        <v>#NUM!</v>
      </c>
    </row>
    <row r="239" spans="1:24">
      <c r="A239">
        <f t="shared" si="25"/>
        <v>2540.2950000000001</v>
      </c>
      <c r="B239">
        <v>7822</v>
      </c>
      <c r="C239">
        <v>16.5</v>
      </c>
      <c r="E239">
        <v>33</v>
      </c>
      <c r="I239">
        <v>85.57</v>
      </c>
      <c r="J239">
        <v>-115.9</v>
      </c>
      <c r="N239" s="1"/>
      <c r="O239" s="1">
        <v>1.8199999999999998</v>
      </c>
      <c r="P239">
        <f t="shared" si="26"/>
        <v>86.067777655185978</v>
      </c>
      <c r="Q239">
        <f t="shared" si="27"/>
        <v>90.088377568465603</v>
      </c>
      <c r="R239" t="e">
        <f t="shared" si="28"/>
        <v>#NUM!</v>
      </c>
    </row>
    <row r="240" spans="1:24">
      <c r="A240">
        <f t="shared" si="25"/>
        <v>2540.7950000000001</v>
      </c>
      <c r="B240">
        <v>8038</v>
      </c>
      <c r="C240">
        <v>19</v>
      </c>
      <c r="E240">
        <v>36</v>
      </c>
      <c r="I240">
        <v>85.534000000000006</v>
      </c>
      <c r="J240">
        <v>-121.9</v>
      </c>
      <c r="N240" s="1"/>
      <c r="O240" s="1">
        <v>1.8823999999999999</v>
      </c>
      <c r="P240">
        <f t="shared" si="26"/>
        <v>87.23077078996441</v>
      </c>
      <c r="Q240">
        <f t="shared" si="27"/>
        <v>90.781748786253573</v>
      </c>
      <c r="R240" t="e">
        <f t="shared" si="28"/>
        <v>#NUM!</v>
      </c>
    </row>
    <row r="241" spans="1:18">
      <c r="A241">
        <f t="shared" si="25"/>
        <v>2541.2950000000001</v>
      </c>
      <c r="B241">
        <v>8258</v>
      </c>
      <c r="C241">
        <v>21</v>
      </c>
      <c r="E241">
        <v>38</v>
      </c>
      <c r="I241">
        <v>85.551000000000002</v>
      </c>
      <c r="J241">
        <v>-128</v>
      </c>
      <c r="N241" s="1"/>
      <c r="O241" s="1">
        <v>1.8384</v>
      </c>
      <c r="P241">
        <f t="shared" si="26"/>
        <v>88.144084665586234</v>
      </c>
      <c r="Q241">
        <f t="shared" si="27"/>
        <v>91.29537070324406</v>
      </c>
      <c r="R241" t="e">
        <f t="shared" si="28"/>
        <v>#NUM!</v>
      </c>
    </row>
    <row r="242" spans="1:18">
      <c r="A242">
        <f t="shared" si="25"/>
        <v>2541.7950000000001</v>
      </c>
      <c r="B242">
        <v>8484</v>
      </c>
      <c r="C242">
        <v>22</v>
      </c>
      <c r="E242">
        <v>38</v>
      </c>
      <c r="I242">
        <v>85.650999999999996</v>
      </c>
      <c r="J242">
        <v>-138</v>
      </c>
      <c r="N242" s="1"/>
      <c r="O242" s="1">
        <v>1.8251851851851852</v>
      </c>
      <c r="P242">
        <f t="shared" si="26"/>
        <v>88.561367202166778</v>
      </c>
      <c r="Q242">
        <f t="shared" si="27"/>
        <v>91.308585518058862</v>
      </c>
      <c r="R242" t="e">
        <f t="shared" si="28"/>
        <v>#NUM!</v>
      </c>
    </row>
    <row r="243" spans="1:18">
      <c r="A243">
        <f t="shared" si="25"/>
        <v>2542.2950000000001</v>
      </c>
      <c r="B243">
        <v>8716</v>
      </c>
      <c r="C243">
        <v>24</v>
      </c>
      <c r="E243">
        <v>31</v>
      </c>
      <c r="I243">
        <v>85.947999999999993</v>
      </c>
      <c r="J243">
        <v>-146.80000000000001</v>
      </c>
      <c r="N243" s="1"/>
      <c r="O243" s="1">
        <v>1.9970370370370372</v>
      </c>
      <c r="P243">
        <f t="shared" si="26"/>
        <v>89.145286568102932</v>
      </c>
      <c r="Q243">
        <f t="shared" si="27"/>
        <v>89.36829561055626</v>
      </c>
      <c r="R243" t="e">
        <f t="shared" si="28"/>
        <v>#NUM!</v>
      </c>
    </row>
    <row r="244" spans="1:18">
      <c r="A244">
        <f t="shared" si="25"/>
        <v>2542.7950000000001</v>
      </c>
      <c r="B244">
        <v>8954</v>
      </c>
      <c r="C244">
        <v>25</v>
      </c>
      <c r="E244">
        <v>22</v>
      </c>
      <c r="I244">
        <v>86.391000000000005</v>
      </c>
      <c r="J244">
        <v>-153.30000000000001</v>
      </c>
      <c r="N244" s="1"/>
      <c r="O244" s="1">
        <v>2.1733333333333333</v>
      </c>
      <c r="P244">
        <f t="shared" si="26"/>
        <v>89.323565611015255</v>
      </c>
      <c r="Q244">
        <f t="shared" si="27"/>
        <v>86.213219054018637</v>
      </c>
      <c r="R244" t="e">
        <f t="shared" si="28"/>
        <v>#NUM!</v>
      </c>
    </row>
    <row r="245" spans="1:18">
      <c r="A245">
        <f t="shared" si="25"/>
        <v>2543.2950000000001</v>
      </c>
      <c r="B245">
        <v>9200</v>
      </c>
      <c r="C245">
        <v>23.5</v>
      </c>
      <c r="E245">
        <v>16.5</v>
      </c>
      <c r="I245">
        <v>86.753</v>
      </c>
      <c r="J245">
        <v>-162.4</v>
      </c>
      <c r="N245" s="1"/>
      <c r="O245" s="1">
        <v>2.2736842105263158</v>
      </c>
      <c r="P245">
        <f t="shared" si="26"/>
        <v>88.685771805816259</v>
      </c>
      <c r="Q245">
        <f t="shared" si="27"/>
        <v>83.614093444659659</v>
      </c>
      <c r="R245" t="e">
        <f t="shared" si="28"/>
        <v>#NUM!</v>
      </c>
    </row>
    <row r="246" spans="1:18">
      <c r="A246">
        <f t="shared" si="25"/>
        <v>2543.7950000000001</v>
      </c>
      <c r="B246">
        <v>9452</v>
      </c>
      <c r="C246">
        <v>21</v>
      </c>
      <c r="E246">
        <v>14</v>
      </c>
      <c r="I246">
        <v>87.433000000000007</v>
      </c>
      <c r="J246">
        <v>-176.9</v>
      </c>
      <c r="N246" s="1"/>
      <c r="O246" s="1">
        <v>2.3621052631578947</v>
      </c>
      <c r="P246">
        <f t="shared" si="26"/>
        <v>87.620379402428327</v>
      </c>
      <c r="Q246">
        <f t="shared" si="27"/>
        <v>82.098554221314714</v>
      </c>
      <c r="R246" t="e">
        <f t="shared" si="28"/>
        <v>#NUM!</v>
      </c>
    </row>
    <row r="247" spans="1:18">
      <c r="A247">
        <f t="shared" si="25"/>
        <v>2544.2950000000001</v>
      </c>
      <c r="B247">
        <v>9710</v>
      </c>
      <c r="C247">
        <v>21</v>
      </c>
      <c r="E247">
        <v>15.5</v>
      </c>
      <c r="I247">
        <v>88.128</v>
      </c>
      <c r="J247">
        <v>163.49</v>
      </c>
      <c r="N247" s="1"/>
      <c r="O247" s="1">
        <v>2.4</v>
      </c>
      <c r="P247">
        <f t="shared" si="26"/>
        <v>87.582484665586222</v>
      </c>
      <c r="Q247">
        <f t="shared" si="27"/>
        <v>82.944732734313661</v>
      </c>
      <c r="R247" t="e">
        <f t="shared" si="28"/>
        <v>#NUM!</v>
      </c>
    </row>
    <row r="248" spans="1:18">
      <c r="A248">
        <f t="shared" si="25"/>
        <v>2544.7950000000001</v>
      </c>
      <c r="B248">
        <v>9976</v>
      </c>
      <c r="C248">
        <v>20</v>
      </c>
      <c r="E248">
        <v>15</v>
      </c>
      <c r="I248">
        <v>88.912999999999997</v>
      </c>
      <c r="J248">
        <v>150.68</v>
      </c>
      <c r="N248" s="1"/>
      <c r="O248" s="1">
        <v>2.4</v>
      </c>
      <c r="P248">
        <f t="shared" si="26"/>
        <v>87.158698684187456</v>
      </c>
      <c r="Q248">
        <f t="shared" si="27"/>
        <v>82.659923952021472</v>
      </c>
      <c r="R248" t="e">
        <f t="shared" si="28"/>
        <v>#NUM!</v>
      </c>
    </row>
    <row r="249" spans="1:18">
      <c r="A249">
        <f t="shared" si="25"/>
        <v>2545.2950000000001</v>
      </c>
      <c r="B249">
        <v>10250</v>
      </c>
      <c r="C249">
        <v>20.5</v>
      </c>
      <c r="E249">
        <v>12.5</v>
      </c>
      <c r="I249">
        <v>89.561000000000007</v>
      </c>
      <c r="J249">
        <v>146.28</v>
      </c>
      <c r="N249" s="1"/>
      <c r="O249" s="1">
        <v>2.4</v>
      </c>
      <c r="P249">
        <f t="shared" si="26"/>
        <v>87.373175992022922</v>
      </c>
      <c r="Q249">
        <f t="shared" si="27"/>
        <v>81.07629903106897</v>
      </c>
      <c r="R249" t="e">
        <f t="shared" si="28"/>
        <v>#NUM!</v>
      </c>
    </row>
    <row r="250" spans="1:18">
      <c r="A250">
        <f t="shared" si="25"/>
        <v>2545.7950000000001</v>
      </c>
      <c r="B250">
        <v>10530</v>
      </c>
      <c r="C250">
        <v>19.5</v>
      </c>
      <c r="E250">
        <v>15.5</v>
      </c>
      <c r="I250">
        <v>89.896000000000001</v>
      </c>
      <c r="J250">
        <v>133.19999999999999</v>
      </c>
      <c r="N250" s="1"/>
      <c r="O250" s="1">
        <v>2.4</v>
      </c>
      <c r="P250">
        <f t="shared" si="26"/>
        <v>86.938790998158197</v>
      </c>
      <c r="Q250">
        <f t="shared" si="27"/>
        <v>82.944732734313661</v>
      </c>
      <c r="R250" t="e">
        <f t="shared" si="28"/>
        <v>#NUM!</v>
      </c>
    </row>
    <row r="251" spans="1:18">
      <c r="A251">
        <f t="shared" si="25"/>
        <v>2546.2950000000001</v>
      </c>
      <c r="B251">
        <v>10818</v>
      </c>
      <c r="C251">
        <v>17.5</v>
      </c>
      <c r="E251">
        <v>17.5</v>
      </c>
      <c r="I251">
        <v>89.655000000000001</v>
      </c>
      <c r="J251">
        <v>115.11</v>
      </c>
      <c r="N251" s="1"/>
      <c r="O251" s="1">
        <v>2.401176470588235</v>
      </c>
      <c r="P251">
        <f t="shared" si="26"/>
        <v>85.997683274045485</v>
      </c>
      <c r="Q251">
        <f t="shared" si="27"/>
        <v>83.9976832740455</v>
      </c>
      <c r="R251" t="e">
        <f t="shared" si="28"/>
        <v>#NUM!</v>
      </c>
    </row>
    <row r="252" spans="1:18">
      <c r="A252">
        <f t="shared" si="25"/>
        <v>2546.7950000000001</v>
      </c>
      <c r="B252">
        <v>11114</v>
      </c>
      <c r="C252">
        <v>21</v>
      </c>
      <c r="E252">
        <v>20.5</v>
      </c>
      <c r="I252">
        <v>88.516000000000005</v>
      </c>
      <c r="J252">
        <v>101.81</v>
      </c>
      <c r="N252" s="1"/>
      <c r="O252" s="1">
        <v>2.4447058823529413</v>
      </c>
      <c r="P252">
        <f t="shared" si="26"/>
        <v>87.537778783233293</v>
      </c>
      <c r="Q252">
        <f t="shared" si="27"/>
        <v>85.328470109669993</v>
      </c>
      <c r="R252" t="e">
        <f t="shared" si="28"/>
        <v>#NUM!</v>
      </c>
    </row>
    <row r="253" spans="1:18">
      <c r="A253">
        <f t="shared" si="25"/>
        <v>2547.2950000000001</v>
      </c>
      <c r="B253">
        <v>11418</v>
      </c>
      <c r="C253">
        <v>22.5</v>
      </c>
      <c r="E253">
        <v>23</v>
      </c>
      <c r="I253">
        <v>86.713999999999999</v>
      </c>
      <c r="J253">
        <v>96.144000000000005</v>
      </c>
      <c r="N253" s="1"/>
      <c r="O253" s="1">
        <v>2.4894117647058822</v>
      </c>
      <c r="P253">
        <f t="shared" si="26"/>
        <v>88.092337368429213</v>
      </c>
      <c r="Q253">
        <f t="shared" si="27"/>
        <v>86.283243726553835</v>
      </c>
      <c r="R253" t="e">
        <f t="shared" si="28"/>
        <v>#NUM!</v>
      </c>
    </row>
    <row r="254" spans="1:18">
      <c r="A254">
        <f t="shared" si="25"/>
        <v>2547.7950000000001</v>
      </c>
      <c r="B254">
        <v>11730</v>
      </c>
      <c r="C254">
        <v>19</v>
      </c>
      <c r="E254">
        <v>29</v>
      </c>
      <c r="I254">
        <v>84.938999999999993</v>
      </c>
      <c r="J254">
        <v>106.55</v>
      </c>
      <c r="N254" s="1"/>
      <c r="O254" s="1">
        <v>2.5</v>
      </c>
      <c r="P254">
        <f t="shared" si="26"/>
        <v>86.613170789964414</v>
      </c>
      <c r="Q254">
        <f t="shared" si="27"/>
        <v>88.286058728886957</v>
      </c>
      <c r="R254" t="e">
        <f t="shared" si="28"/>
        <v>#NUM!</v>
      </c>
    </row>
    <row r="255" spans="1:18">
      <c r="A255">
        <f t="shared" si="25"/>
        <v>2548.2950000000001</v>
      </c>
      <c r="B255">
        <v>12052</v>
      </c>
      <c r="C255">
        <v>26</v>
      </c>
      <c r="E255">
        <v>34</v>
      </c>
      <c r="I255">
        <v>83.856999999999999</v>
      </c>
      <c r="J255">
        <v>133.78</v>
      </c>
      <c r="N255" s="1"/>
      <c r="O255" s="1">
        <v>2.5</v>
      </c>
      <c r="P255">
        <f t="shared" si="26"/>
        <v>89.337565730324201</v>
      </c>
      <c r="Q255">
        <f t="shared" si="27"/>
        <v>89.667677111752951</v>
      </c>
      <c r="R255" t="e">
        <f t="shared" si="28"/>
        <v>#NUM!</v>
      </c>
    </row>
    <row r="256" spans="1:18">
      <c r="A256">
        <f t="shared" si="25"/>
        <v>2548.7950000000001</v>
      </c>
      <c r="B256">
        <v>12382</v>
      </c>
      <c r="C256">
        <v>33</v>
      </c>
      <c r="E256">
        <v>43</v>
      </c>
      <c r="I256">
        <v>83.781999999999996</v>
      </c>
      <c r="J256">
        <v>165.36</v>
      </c>
      <c r="N256" s="1"/>
      <c r="O256" s="1">
        <v>2.6038461538461539</v>
      </c>
      <c r="P256">
        <f t="shared" si="26"/>
        <v>91.304531414619447</v>
      </c>
      <c r="Q256">
        <f t="shared" si="27"/>
        <v>91.603621728653422</v>
      </c>
      <c r="R256" t="e">
        <f t="shared" si="28"/>
        <v>#NUM!</v>
      </c>
    </row>
    <row r="257" spans="1:18">
      <c r="A257">
        <f t="shared" si="25"/>
        <v>2549.2950000000001</v>
      </c>
      <c r="B257">
        <v>12722</v>
      </c>
      <c r="C257">
        <v>33</v>
      </c>
      <c r="E257">
        <v>43</v>
      </c>
      <c r="I257">
        <v>84.453999999999994</v>
      </c>
      <c r="J257">
        <v>-160.4</v>
      </c>
      <c r="N257" s="1"/>
      <c r="O257" s="1">
        <v>2.821794871794872</v>
      </c>
      <c r="P257">
        <f t="shared" si="26"/>
        <v>91.086582696670717</v>
      </c>
      <c r="Q257">
        <f t="shared" si="27"/>
        <v>91.385673010704693</v>
      </c>
      <c r="R257" t="e">
        <f t="shared" si="28"/>
        <v>#NUM!</v>
      </c>
    </row>
    <row r="258" spans="1:18">
      <c r="A258">
        <f t="shared" si="25"/>
        <v>2549.7950000000001</v>
      </c>
      <c r="B258">
        <v>13070</v>
      </c>
      <c r="C258">
        <v>34</v>
      </c>
      <c r="E258">
        <v>44</v>
      </c>
      <c r="I258">
        <v>85.491</v>
      </c>
      <c r="J258">
        <v>-129.30000000000001</v>
      </c>
      <c r="N258" s="1"/>
      <c r="O258" s="1">
        <v>3.0168674698795179</v>
      </c>
      <c r="P258">
        <f t="shared" si="26"/>
        <v>91.150809641873437</v>
      </c>
      <c r="Q258">
        <f t="shared" si="27"/>
        <v>91.39028483075208</v>
      </c>
      <c r="R258" t="e">
        <f t="shared" si="28"/>
        <v>#NUM!</v>
      </c>
    </row>
    <row r="259" spans="1:18">
      <c r="A259">
        <f t="shared" si="25"/>
        <v>2550.2950000000001</v>
      </c>
      <c r="B259">
        <v>13428</v>
      </c>
      <c r="C259">
        <v>37</v>
      </c>
      <c r="E259">
        <v>47</v>
      </c>
      <c r="I259">
        <v>86.576999999999998</v>
      </c>
      <c r="J259">
        <v>-117.9</v>
      </c>
      <c r="N259" s="1"/>
      <c r="O259" s="1">
        <v>3.1031325301204822</v>
      </c>
      <c r="P259">
        <f t="shared" si="26"/>
        <v>91.799000722127261</v>
      </c>
      <c r="Q259">
        <f t="shared" si="27"/>
        <v>91.876923399501706</v>
      </c>
      <c r="R259" t="e">
        <f t="shared" si="28"/>
        <v>#NUM!</v>
      </c>
    </row>
    <row r="260" spans="1:18">
      <c r="A260">
        <f t="shared" si="25"/>
        <v>2550.7950000000001</v>
      </c>
      <c r="B260">
        <v>13796</v>
      </c>
      <c r="C260">
        <v>29</v>
      </c>
      <c r="E260">
        <v>47</v>
      </c>
      <c r="I260">
        <v>87.494</v>
      </c>
      <c r="J260">
        <v>-138.69999999999999</v>
      </c>
      <c r="N260" s="1"/>
      <c r="O260" s="1">
        <v>3.1918072289156627</v>
      </c>
      <c r="P260">
        <f t="shared" si="26"/>
        <v>89.594251499971307</v>
      </c>
      <c r="Q260">
        <f t="shared" si="27"/>
        <v>91.788248700706518</v>
      </c>
      <c r="R260" t="e">
        <f t="shared" si="28"/>
        <v>#NUM!</v>
      </c>
    </row>
    <row r="261" spans="1:18">
      <c r="A261">
        <f t="shared" si="25"/>
        <v>2551.2950000000001</v>
      </c>
      <c r="B261">
        <v>14174</v>
      </c>
      <c r="C261">
        <v>26</v>
      </c>
      <c r="E261">
        <v>31</v>
      </c>
      <c r="I261">
        <v>88.100999999999999</v>
      </c>
      <c r="J261">
        <v>165.19</v>
      </c>
      <c r="N261" s="1"/>
      <c r="O261" s="1">
        <v>3.2790804597701149</v>
      </c>
      <c r="P261">
        <f t="shared" si="26"/>
        <v>88.558485270554087</v>
      </c>
      <c r="Q261">
        <f t="shared" si="27"/>
        <v>88.086252187823177</v>
      </c>
      <c r="R261" t="e">
        <f t="shared" si="28"/>
        <v>#NUM!</v>
      </c>
    </row>
    <row r="262" spans="1:18">
      <c r="A262">
        <f t="shared" si="25"/>
        <v>2551.7950000000001</v>
      </c>
      <c r="B262">
        <v>14560</v>
      </c>
      <c r="C262">
        <v>36</v>
      </c>
      <c r="E262">
        <v>26</v>
      </c>
      <c r="I262">
        <v>88.263999999999996</v>
      </c>
      <c r="J262">
        <v>115.59</v>
      </c>
      <c r="N262" s="1"/>
      <c r="O262" s="1">
        <v>3.367816091954023</v>
      </c>
      <c r="P262">
        <f t="shared" si="26"/>
        <v>91.296332694299565</v>
      </c>
      <c r="Q262">
        <f t="shared" si="27"/>
        <v>86.469749638370175</v>
      </c>
      <c r="R262" t="e">
        <f t="shared" si="28"/>
        <v>#NUM!</v>
      </c>
    </row>
    <row r="263" spans="1:18">
      <c r="A263">
        <f t="shared" si="25"/>
        <v>2552.2950000000001</v>
      </c>
      <c r="B263">
        <v>14960</v>
      </c>
      <c r="C263">
        <v>40</v>
      </c>
      <c r="E263">
        <v>29</v>
      </c>
      <c r="I263">
        <v>87.923000000000002</v>
      </c>
      <c r="J263">
        <v>105.14</v>
      </c>
      <c r="N263" s="1"/>
      <c r="O263" s="1">
        <v>3.4553191489361703</v>
      </c>
      <c r="P263">
        <f t="shared" si="26"/>
        <v>92.123979448530918</v>
      </c>
      <c r="Q263">
        <f t="shared" si="27"/>
        <v>87.330739579950787</v>
      </c>
      <c r="R263" t="e">
        <f t="shared" si="28"/>
        <v>#NUM!</v>
      </c>
    </row>
    <row r="264" spans="1:18">
      <c r="A264">
        <f t="shared" si="25"/>
        <v>2552.7950000000001</v>
      </c>
      <c r="B264">
        <v>15368</v>
      </c>
      <c r="C264">
        <v>39</v>
      </c>
      <c r="E264">
        <v>32</v>
      </c>
      <c r="I264">
        <v>87.161000000000001</v>
      </c>
      <c r="J264">
        <v>104.91</v>
      </c>
      <c r="N264" s="1"/>
      <c r="O264" s="1">
        <v>3.5421276595744682</v>
      </c>
      <c r="P264">
        <f t="shared" si="26"/>
        <v>91.817263251863366</v>
      </c>
      <c r="Q264">
        <f t="shared" si="27"/>
        <v>88.098970677731515</v>
      </c>
      <c r="R264" t="e">
        <f t="shared" si="28"/>
        <v>#NUM!</v>
      </c>
    </row>
    <row r="265" spans="1:18">
      <c r="A265">
        <f t="shared" si="25"/>
        <v>2553.2950000000001</v>
      </c>
      <c r="B265">
        <v>15790</v>
      </c>
      <c r="C265">
        <v>34</v>
      </c>
      <c r="E265">
        <v>32</v>
      </c>
      <c r="I265">
        <v>86.045000000000002</v>
      </c>
      <c r="J265">
        <v>89.492000000000004</v>
      </c>
      <c r="N265" s="1"/>
      <c r="O265" s="1">
        <v>3.6</v>
      </c>
      <c r="P265">
        <f t="shared" si="26"/>
        <v>90.567677111752957</v>
      </c>
      <c r="Q265">
        <f t="shared" si="27"/>
        <v>88.041098337305982</v>
      </c>
      <c r="R265" t="e">
        <f t="shared" si="28"/>
        <v>#NUM!</v>
      </c>
    </row>
    <row r="266" spans="1:18">
      <c r="A266">
        <f t="shared" si="25"/>
        <v>2553.7950000000001</v>
      </c>
      <c r="B266">
        <v>16222</v>
      </c>
      <c r="C266">
        <v>32</v>
      </c>
      <c r="E266">
        <v>29</v>
      </c>
      <c r="I266">
        <v>85.147999999999996</v>
      </c>
      <c r="J266">
        <v>71.599000000000004</v>
      </c>
      <c r="N266" s="1"/>
      <c r="O266" s="1">
        <v>3.6</v>
      </c>
      <c r="P266">
        <f t="shared" si="26"/>
        <v>90.041098337305968</v>
      </c>
      <c r="Q266">
        <f t="shared" si="27"/>
        <v>87.186058728886962</v>
      </c>
      <c r="R266" t="e">
        <f t="shared" si="28"/>
        <v>#NUM!</v>
      </c>
    </row>
    <row r="267" spans="1:18">
      <c r="A267">
        <f t="shared" si="25"/>
        <v>2554.2950000000001</v>
      </c>
      <c r="B267">
        <v>16666</v>
      </c>
      <c r="C267">
        <v>40</v>
      </c>
      <c r="E267">
        <v>29</v>
      </c>
      <c r="I267">
        <v>85.025000000000006</v>
      </c>
      <c r="J267">
        <v>62.25</v>
      </c>
      <c r="N267" s="1"/>
      <c r="O267" s="1">
        <v>3.5966037735849059</v>
      </c>
      <c r="P267">
        <f t="shared" si="26"/>
        <v>91.982694823882184</v>
      </c>
      <c r="Q267">
        <f t="shared" si="27"/>
        <v>87.189454955302054</v>
      </c>
      <c r="R267" t="e">
        <f t="shared" si="28"/>
        <v>#NUM!</v>
      </c>
    </row>
    <row r="268" spans="1:18">
      <c r="A268">
        <f t="shared" si="25"/>
        <v>2554.7950000000001</v>
      </c>
      <c r="B268">
        <v>17122</v>
      </c>
      <c r="C268">
        <v>34</v>
      </c>
      <c r="E268">
        <v>28</v>
      </c>
      <c r="I268">
        <v>85.823999999999998</v>
      </c>
      <c r="J268">
        <v>48.9</v>
      </c>
      <c r="N268" s="1"/>
      <c r="O268" s="1">
        <v>3.5535849056603772</v>
      </c>
      <c r="P268">
        <f t="shared" si="26"/>
        <v>90.614092206092579</v>
      </c>
      <c r="Q268">
        <f t="shared" si="27"/>
        <v>86.927674492091867</v>
      </c>
      <c r="R268" t="e">
        <f t="shared" si="28"/>
        <v>#NUM!</v>
      </c>
    </row>
    <row r="269" spans="1:18">
      <c r="A269">
        <f t="shared" si="25"/>
        <v>2555.2950000000001</v>
      </c>
      <c r="B269">
        <v>17592</v>
      </c>
      <c r="C269">
        <v>39</v>
      </c>
      <c r="E269">
        <v>29</v>
      </c>
      <c r="I269">
        <v>86.923000000000002</v>
      </c>
      <c r="J269">
        <v>19.951000000000001</v>
      </c>
      <c r="N269" s="1"/>
      <c r="O269" s="1">
        <v>3.5092452830188678</v>
      </c>
      <c r="P269">
        <f t="shared" si="26"/>
        <v>91.850145628418957</v>
      </c>
      <c r="Q269">
        <f t="shared" si="27"/>
        <v>87.276813445868086</v>
      </c>
      <c r="R269" t="e">
        <f t="shared" si="28"/>
        <v>#NUM!</v>
      </c>
    </row>
    <row r="270" spans="1:18">
      <c r="A270">
        <f t="shared" si="25"/>
        <v>2555.7950000000001</v>
      </c>
      <c r="B270">
        <v>18074</v>
      </c>
      <c r="C270">
        <v>40</v>
      </c>
      <c r="E270">
        <v>30</v>
      </c>
      <c r="I270">
        <v>87.597999999999999</v>
      </c>
      <c r="J270">
        <v>-13.13</v>
      </c>
      <c r="N270" s="1"/>
      <c r="O270" s="1">
        <v>3.5</v>
      </c>
      <c r="P270">
        <f t="shared" si="26"/>
        <v>92.079298597467087</v>
      </c>
      <c r="Q270">
        <f t="shared" si="27"/>
        <v>87.580523865301103</v>
      </c>
      <c r="R270" t="e">
        <f t="shared" si="28"/>
        <v>#NUM!</v>
      </c>
    </row>
    <row r="271" spans="1:18">
      <c r="A271">
        <f t="shared" si="25"/>
        <v>2556.2950000000001</v>
      </c>
      <c r="B271">
        <v>18568</v>
      </c>
      <c r="C271">
        <v>31</v>
      </c>
      <c r="E271">
        <v>30</v>
      </c>
      <c r="I271">
        <v>87.528000000000006</v>
      </c>
      <c r="J271">
        <v>-43.09</v>
      </c>
      <c r="N271" s="1">
        <v>-0.16866335073725625</v>
      </c>
      <c r="O271" s="1">
        <v>3.5</v>
      </c>
      <c r="P271">
        <f t="shared" si="26"/>
        <v>90.033995998330568</v>
      </c>
      <c r="Q271">
        <f t="shared" si="27"/>
        <v>87.749187216038365</v>
      </c>
      <c r="R271" t="e">
        <f t="shared" si="28"/>
        <v>#NUM!</v>
      </c>
    </row>
    <row r="272" spans="1:18">
      <c r="A272">
        <f t="shared" si="25"/>
        <v>2556.7950000000001</v>
      </c>
      <c r="B272">
        <v>19076</v>
      </c>
      <c r="C272">
        <v>23</v>
      </c>
      <c r="E272">
        <v>31</v>
      </c>
      <c r="I272">
        <v>86.600999999999999</v>
      </c>
      <c r="J272">
        <v>-81.510000000000005</v>
      </c>
      <c r="N272" s="1">
        <v>-0.34066678597560685</v>
      </c>
      <c r="O272" s="1">
        <v>3.5227350427350426</v>
      </c>
      <c r="P272">
        <f t="shared" si="26"/>
        <v>87.590587234500262</v>
      </c>
      <c r="Q272">
        <f t="shared" si="27"/>
        <v>88.183264390833855</v>
      </c>
      <c r="R272" t="e">
        <f t="shared" si="28"/>
        <v>#NUM!</v>
      </c>
    </row>
    <row r="273" spans="1:18">
      <c r="A273">
        <f t="shared" si="25"/>
        <v>2557.2950000000001</v>
      </c>
      <c r="B273">
        <v>19598</v>
      </c>
      <c r="C273">
        <v>22.5</v>
      </c>
      <c r="E273">
        <v>29</v>
      </c>
      <c r="I273">
        <v>85.427000000000007</v>
      </c>
      <c r="J273">
        <v>-159</v>
      </c>
      <c r="N273" s="1">
        <v>-0.69524212518423834</v>
      </c>
      <c r="O273" s="1">
        <v>3.5673504273504273</v>
      </c>
      <c r="P273">
        <f t="shared" si="26"/>
        <v>87.709640830968894</v>
      </c>
      <c r="Q273">
        <f t="shared" si="27"/>
        <v>87.91395042672076</v>
      </c>
      <c r="R273" t="e">
        <f t="shared" si="28"/>
        <v>#NUM!</v>
      </c>
    </row>
    <row r="274" spans="1:18">
      <c r="A274">
        <f t="shared" si="25"/>
        <v>2557.7950000000001</v>
      </c>
      <c r="B274">
        <v>20000</v>
      </c>
      <c r="C274">
        <v>32</v>
      </c>
      <c r="E274">
        <v>34</v>
      </c>
      <c r="I274">
        <v>84.596000000000004</v>
      </c>
      <c r="J274">
        <v>162.69</v>
      </c>
      <c r="N274" s="1">
        <v>-1.0649102390645022</v>
      </c>
      <c r="O274" s="1">
        <v>3.6</v>
      </c>
      <c r="P274">
        <f t="shared" si="26"/>
        <v>91.106008576370471</v>
      </c>
      <c r="Q274">
        <f t="shared" si="27"/>
        <v>89.63258735081746</v>
      </c>
      <c r="R274" t="e">
        <f t="shared" si="28"/>
        <v>#NUM!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274"/>
  <sheetViews>
    <sheetView topLeftCell="D1" zoomScaleNormal="100" workbookViewId="0">
      <selection activeCell="R7" sqref="R7"/>
    </sheetView>
  </sheetViews>
  <sheetFormatPr baseColWidth="10" defaultRowHeight="15"/>
  <sheetData>
    <row r="1" spans="3:28">
      <c r="N1" t="s">
        <v>9</v>
      </c>
      <c r="O1" t="s">
        <v>24</v>
      </c>
      <c r="P1">
        <v>0.125</v>
      </c>
      <c r="Q1">
        <v>0.125</v>
      </c>
      <c r="R1">
        <v>0.125</v>
      </c>
      <c r="T1" t="s">
        <v>33</v>
      </c>
      <c r="U1" t="s">
        <v>35</v>
      </c>
      <c r="V1">
        <v>1.39</v>
      </c>
      <c r="W1">
        <v>1.39</v>
      </c>
      <c r="X1">
        <v>1.39</v>
      </c>
    </row>
    <row r="2" spans="3:28">
      <c r="N2" t="s">
        <v>11</v>
      </c>
      <c r="O2" t="s">
        <v>10</v>
      </c>
      <c r="P2">
        <f t="shared" ref="P2:Q2" si="0">+P1*23</f>
        <v>2.875</v>
      </c>
      <c r="Q2">
        <f t="shared" si="0"/>
        <v>2.875</v>
      </c>
      <c r="R2">
        <f>+R1*23</f>
        <v>2.875</v>
      </c>
      <c r="T2" t="s">
        <v>32</v>
      </c>
      <c r="U2" t="s">
        <v>35</v>
      </c>
      <c r="V2">
        <v>1.35</v>
      </c>
      <c r="W2">
        <v>1.35</v>
      </c>
      <c r="X2">
        <v>1.35</v>
      </c>
    </row>
    <row r="3" spans="3:28">
      <c r="N3" t="s">
        <v>12</v>
      </c>
      <c r="O3" t="s">
        <v>10</v>
      </c>
      <c r="P3" s="2">
        <f t="shared" ref="P3:Q3" si="1">2^0.5*2</f>
        <v>2.8284271247461903</v>
      </c>
      <c r="Q3" s="2">
        <f t="shared" si="1"/>
        <v>2.8284271247461903</v>
      </c>
      <c r="R3" s="2">
        <f>2^0.5*2</f>
        <v>2.8284271247461903</v>
      </c>
      <c r="T3" t="s">
        <v>34</v>
      </c>
      <c r="U3" t="s">
        <v>35</v>
      </c>
      <c r="V3">
        <v>1</v>
      </c>
      <c r="W3">
        <v>1</v>
      </c>
      <c r="X3">
        <v>1</v>
      </c>
    </row>
    <row r="4" spans="3:28">
      <c r="N4" t="s">
        <v>13</v>
      </c>
      <c r="O4" t="s">
        <v>14</v>
      </c>
      <c r="P4" s="3">
        <f t="shared" ref="P4:Q4" si="2">20*LOG(P3/P2)</f>
        <v>-0.14185711059354938</v>
      </c>
      <c r="Q4" s="3">
        <f t="shared" si="2"/>
        <v>-0.14185711059354938</v>
      </c>
      <c r="R4" s="3">
        <f>20*LOG(R3/R2)</f>
        <v>-0.14185711059354938</v>
      </c>
      <c r="T4" t="s">
        <v>36</v>
      </c>
      <c r="U4" t="s">
        <v>35</v>
      </c>
      <c r="V4" s="4">
        <f>((V1-V2)^2+V3^2)^0.5</f>
        <v>1.0007996802557444</v>
      </c>
      <c r="W4" s="4">
        <f>((W1-W2)^2+W3^2)^0.5</f>
        <v>1.0007996802557444</v>
      </c>
      <c r="X4" s="4">
        <f>((X1-X2)^2+X3^2)^0.5</f>
        <v>1.0007996802557444</v>
      </c>
    </row>
    <row r="5" spans="3:28">
      <c r="T5" t="s">
        <v>38</v>
      </c>
      <c r="U5" t="s">
        <v>37</v>
      </c>
      <c r="V5">
        <v>343</v>
      </c>
      <c r="W5">
        <v>343</v>
      </c>
      <c r="X5">
        <v>343</v>
      </c>
    </row>
    <row r="6" spans="3:28">
      <c r="N6" t="s">
        <v>15</v>
      </c>
      <c r="O6" t="s">
        <v>14</v>
      </c>
      <c r="P6" s="1">
        <f t="shared" ref="P6:Q6" si="3">20*LOG(202)</f>
        <v>46.10702738893248</v>
      </c>
      <c r="Q6" s="1">
        <f t="shared" si="3"/>
        <v>46.10702738893248</v>
      </c>
      <c r="R6" s="1">
        <f>20*LOG(202)</f>
        <v>46.10702738893248</v>
      </c>
      <c r="T6" t="s">
        <v>39</v>
      </c>
      <c r="V6">
        <v>1</v>
      </c>
      <c r="W6">
        <v>1</v>
      </c>
      <c r="X6">
        <v>1</v>
      </c>
    </row>
    <row r="7" spans="3:28">
      <c r="N7" t="s">
        <v>16</v>
      </c>
      <c r="O7" t="s">
        <v>14</v>
      </c>
      <c r="P7">
        <v>-10</v>
      </c>
      <c r="Q7">
        <v>-12</v>
      </c>
      <c r="R7">
        <f>-14-2</f>
        <v>-16</v>
      </c>
    </row>
    <row r="8" spans="3:28">
      <c r="N8" t="s">
        <v>17</v>
      </c>
      <c r="O8" t="s">
        <v>14</v>
      </c>
      <c r="P8" s="1">
        <f t="shared" ref="P8:Q8" si="4">+P6+P7</f>
        <v>36.10702738893248</v>
      </c>
      <c r="Q8" s="1">
        <f t="shared" si="4"/>
        <v>34.10702738893248</v>
      </c>
      <c r="R8" s="1">
        <f>+R6+R7</f>
        <v>30.10702738893248</v>
      </c>
    </row>
    <row r="9" spans="3:28">
      <c r="N9" t="s">
        <v>18</v>
      </c>
      <c r="O9" t="s">
        <v>19</v>
      </c>
      <c r="P9" s="1">
        <f t="shared" ref="P9:Q9" si="5">10^(P8/20)</f>
        <v>63.878008735401302</v>
      </c>
      <c r="Q9" s="1">
        <f t="shared" si="5"/>
        <v>50.740105916493576</v>
      </c>
      <c r="R9" s="1">
        <f>10^(R8/20)</f>
        <v>32.014842487714517</v>
      </c>
    </row>
    <row r="10" spans="3:28">
      <c r="N10" t="s">
        <v>21</v>
      </c>
      <c r="O10" t="s">
        <v>22</v>
      </c>
      <c r="P10">
        <v>1.4200000000000001E-2</v>
      </c>
      <c r="Q10">
        <v>1.4200000000000001E-2</v>
      </c>
      <c r="R10">
        <v>1.4200000000000001E-2</v>
      </c>
    </row>
    <row r="11" spans="3:28">
      <c r="O11" t="s">
        <v>20</v>
      </c>
      <c r="P11">
        <v>9</v>
      </c>
      <c r="Q11">
        <v>9</v>
      </c>
      <c r="R11">
        <v>9</v>
      </c>
    </row>
    <row r="12" spans="3:28">
      <c r="O12" t="s">
        <v>23</v>
      </c>
      <c r="P12" s="2">
        <f t="shared" ref="P12:Q12" si="6">1/(P11/P1*P9*P10)</f>
        <v>1.5311854364068513E-2</v>
      </c>
      <c r="Q12" s="2">
        <f t="shared" si="6"/>
        <v>1.9276482560617262E-2</v>
      </c>
      <c r="R12" s="2">
        <f>1/(R11/R1*R9*R10)</f>
        <v>3.055116598491768E-2</v>
      </c>
    </row>
    <row r="13" spans="3:28">
      <c r="N13" t="s">
        <v>28</v>
      </c>
      <c r="P13" t="s">
        <v>44</v>
      </c>
      <c r="Q13" t="s">
        <v>45</v>
      </c>
    </row>
    <row r="14" spans="3:28">
      <c r="N14" t="s">
        <v>29</v>
      </c>
      <c r="O14" t="s">
        <v>30</v>
      </c>
      <c r="P14">
        <v>410.81400000000002</v>
      </c>
      <c r="Q14">
        <v>1225.9590000000001</v>
      </c>
    </row>
    <row r="16" spans="3:28">
      <c r="C16" t="s">
        <v>97</v>
      </c>
      <c r="D16" t="s">
        <v>0</v>
      </c>
      <c r="E16" t="s">
        <v>97</v>
      </c>
      <c r="F16" t="s">
        <v>0</v>
      </c>
      <c r="G16" t="s">
        <v>97</v>
      </c>
      <c r="H16" t="s">
        <v>0</v>
      </c>
      <c r="I16" t="s">
        <v>3</v>
      </c>
      <c r="J16" t="s">
        <v>0</v>
      </c>
      <c r="N16" t="s">
        <v>1</v>
      </c>
      <c r="O16" t="s">
        <v>2</v>
      </c>
      <c r="P16" t="s">
        <v>3</v>
      </c>
      <c r="Q16" t="s">
        <v>3</v>
      </c>
      <c r="R16" t="s">
        <v>3</v>
      </c>
      <c r="V16" t="s">
        <v>0</v>
      </c>
      <c r="W16" t="s">
        <v>0</v>
      </c>
      <c r="X16" t="s">
        <v>0</v>
      </c>
      <c r="Z16" s="5"/>
      <c r="AB16" s="5"/>
    </row>
    <row r="17" spans="1:24">
      <c r="B17" t="s">
        <v>4</v>
      </c>
      <c r="C17" s="6" t="s">
        <v>49</v>
      </c>
      <c r="D17" t="str">
        <f>+C17</f>
        <v>G20SC-8 (1)</v>
      </c>
      <c r="E17" s="6" t="s">
        <v>50</v>
      </c>
      <c r="F17" t="str">
        <f>+E17</f>
        <v>G20SC-8 (2)</v>
      </c>
      <c r="G17" s="6"/>
      <c r="H17">
        <f>+G17</f>
        <v>0</v>
      </c>
      <c r="I17" s="6" t="s">
        <v>51</v>
      </c>
      <c r="J17" t="str">
        <f>+I17</f>
        <v>G20SC-8 soll</v>
      </c>
      <c r="P17" t="str">
        <f>+C17</f>
        <v>G20SC-8 (1)</v>
      </c>
      <c r="Q17" t="str">
        <f>+E17</f>
        <v>G20SC-8 (2)</v>
      </c>
      <c r="R17">
        <f>+G17</f>
        <v>0</v>
      </c>
      <c r="V17" t="str">
        <f>+C17</f>
        <v>G20SC-8 (1)</v>
      </c>
      <c r="W17" t="str">
        <f>+E17</f>
        <v>G20SC-8 (2)</v>
      </c>
      <c r="X17">
        <f>+G17</f>
        <v>0</v>
      </c>
    </row>
    <row r="18" spans="1:24">
      <c r="A18">
        <v>1225.9590000000001</v>
      </c>
      <c r="B18">
        <v>20</v>
      </c>
      <c r="C18" s="1"/>
      <c r="D18" s="1"/>
      <c r="E18" s="1"/>
      <c r="F18" s="1"/>
      <c r="I18">
        <v>44.701999999999998</v>
      </c>
      <c r="J18">
        <v>153.58000000000001</v>
      </c>
      <c r="N18" s="1"/>
      <c r="O18" s="1">
        <v>0</v>
      </c>
      <c r="P18" t="e">
        <f t="shared" ref="P18:P81" si="7">20*LOG(P$12*$C18/0.00002)-$N18-$O18</f>
        <v>#NUM!</v>
      </c>
      <c r="Q18" t="e">
        <f t="shared" ref="Q18:Q81" si="8">20*LOG(Q$12*$E18/0.00002)-$N18-$O18</f>
        <v>#NUM!</v>
      </c>
      <c r="R18" t="e">
        <f t="shared" ref="R18:R81" si="9">20*LOG(R$12*$G18/0.00002)-$N18-$O18</f>
        <v>#NUM!</v>
      </c>
    </row>
    <row r="19" spans="1:24">
      <c r="A19">
        <f>+A18+0.5</f>
        <v>1226.4590000000001</v>
      </c>
      <c r="B19">
        <v>20.5</v>
      </c>
      <c r="C19" s="1"/>
      <c r="D19" s="1"/>
      <c r="E19" s="1"/>
      <c r="F19" s="1"/>
      <c r="I19">
        <v>44.566000000000003</v>
      </c>
      <c r="J19">
        <v>153.30000000000001</v>
      </c>
      <c r="N19" s="1"/>
      <c r="O19" s="1">
        <v>0</v>
      </c>
      <c r="P19" t="e">
        <f t="shared" si="7"/>
        <v>#NUM!</v>
      </c>
      <c r="Q19" t="e">
        <f t="shared" si="8"/>
        <v>#NUM!</v>
      </c>
      <c r="R19" t="e">
        <f t="shared" si="9"/>
        <v>#NUM!</v>
      </c>
    </row>
    <row r="20" spans="1:24">
      <c r="A20">
        <f t="shared" ref="A20:A83" si="10">+A19+0.5</f>
        <v>1226.9590000000001</v>
      </c>
      <c r="B20">
        <v>21.1</v>
      </c>
      <c r="C20" s="1"/>
      <c r="D20" s="1"/>
      <c r="E20" s="1"/>
      <c r="F20" s="1"/>
      <c r="I20">
        <v>44.195</v>
      </c>
      <c r="J20">
        <v>153.02000000000001</v>
      </c>
      <c r="N20" s="1"/>
      <c r="O20" s="1">
        <v>0</v>
      </c>
      <c r="P20" t="e">
        <f t="shared" si="7"/>
        <v>#NUM!</v>
      </c>
      <c r="Q20" t="e">
        <f t="shared" si="8"/>
        <v>#NUM!</v>
      </c>
      <c r="R20" t="e">
        <f t="shared" si="9"/>
        <v>#NUM!</v>
      </c>
    </row>
    <row r="21" spans="1:24">
      <c r="A21">
        <f t="shared" si="10"/>
        <v>1227.4590000000001</v>
      </c>
      <c r="B21">
        <v>21.6</v>
      </c>
      <c r="C21" s="1"/>
      <c r="D21" s="1"/>
      <c r="E21" s="1"/>
      <c r="F21" s="1"/>
      <c r="I21">
        <v>43.595999999999997</v>
      </c>
      <c r="J21">
        <v>152.74</v>
      </c>
      <c r="N21" s="1"/>
      <c r="O21" s="1">
        <v>0</v>
      </c>
      <c r="P21" t="e">
        <f t="shared" si="7"/>
        <v>#NUM!</v>
      </c>
      <c r="Q21" t="e">
        <f t="shared" si="8"/>
        <v>#NUM!</v>
      </c>
      <c r="R21" t="e">
        <f t="shared" si="9"/>
        <v>#NUM!</v>
      </c>
    </row>
    <row r="22" spans="1:24">
      <c r="A22">
        <f t="shared" si="10"/>
        <v>1227.9590000000001</v>
      </c>
      <c r="B22">
        <v>22.2</v>
      </c>
      <c r="C22" s="1"/>
      <c r="D22" s="1"/>
      <c r="E22" s="1"/>
      <c r="F22" s="1"/>
      <c r="I22">
        <v>43.097999999999999</v>
      </c>
      <c r="J22">
        <v>152.47</v>
      </c>
      <c r="N22" s="1"/>
      <c r="O22" s="1">
        <v>0</v>
      </c>
      <c r="P22" t="e">
        <f t="shared" si="7"/>
        <v>#NUM!</v>
      </c>
      <c r="Q22" t="e">
        <f t="shared" si="8"/>
        <v>#NUM!</v>
      </c>
      <c r="R22" t="e">
        <f t="shared" si="9"/>
        <v>#NUM!</v>
      </c>
    </row>
    <row r="23" spans="1:24">
      <c r="A23">
        <f t="shared" si="10"/>
        <v>1228.4590000000001</v>
      </c>
      <c r="B23">
        <v>22.9</v>
      </c>
      <c r="C23" s="1"/>
      <c r="D23" s="1"/>
      <c r="E23" s="1"/>
      <c r="F23" s="1"/>
      <c r="I23">
        <v>43.023000000000003</v>
      </c>
      <c r="J23">
        <v>152.19999999999999</v>
      </c>
      <c r="N23" s="1"/>
      <c r="O23" s="1">
        <v>0</v>
      </c>
      <c r="P23" t="e">
        <f t="shared" si="7"/>
        <v>#NUM!</v>
      </c>
      <c r="Q23" t="e">
        <f t="shared" si="8"/>
        <v>#NUM!</v>
      </c>
      <c r="R23" t="e">
        <f t="shared" si="9"/>
        <v>#NUM!</v>
      </c>
    </row>
    <row r="24" spans="1:24">
      <c r="A24">
        <f t="shared" si="10"/>
        <v>1228.9590000000001</v>
      </c>
      <c r="B24">
        <v>23.5</v>
      </c>
      <c r="C24" s="1"/>
      <c r="D24" s="1"/>
      <c r="E24" s="1"/>
      <c r="F24" s="1"/>
      <c r="I24">
        <v>43.341000000000001</v>
      </c>
      <c r="J24">
        <v>151.93</v>
      </c>
      <c r="N24" s="1"/>
      <c r="O24" s="1">
        <v>0</v>
      </c>
      <c r="P24" t="e">
        <f t="shared" si="7"/>
        <v>#NUM!</v>
      </c>
      <c r="Q24" t="e">
        <f t="shared" si="8"/>
        <v>#NUM!</v>
      </c>
      <c r="R24" t="e">
        <f t="shared" si="9"/>
        <v>#NUM!</v>
      </c>
    </row>
    <row r="25" spans="1:24">
      <c r="A25">
        <f t="shared" si="10"/>
        <v>1229.4590000000001</v>
      </c>
      <c r="B25">
        <v>24.1</v>
      </c>
      <c r="C25" s="1"/>
      <c r="D25" s="1"/>
      <c r="E25" s="1"/>
      <c r="F25" s="1"/>
      <c r="I25">
        <v>43.731000000000002</v>
      </c>
      <c r="J25">
        <v>151.66999999999999</v>
      </c>
      <c r="N25" s="1"/>
      <c r="O25" s="1">
        <v>0</v>
      </c>
      <c r="P25" t="e">
        <f t="shared" si="7"/>
        <v>#NUM!</v>
      </c>
      <c r="Q25" t="e">
        <f t="shared" si="8"/>
        <v>#NUM!</v>
      </c>
      <c r="R25" t="e">
        <f t="shared" si="9"/>
        <v>#NUM!</v>
      </c>
    </row>
    <row r="26" spans="1:24">
      <c r="A26">
        <f t="shared" si="10"/>
        <v>1229.9590000000001</v>
      </c>
      <c r="B26">
        <v>24.8</v>
      </c>
      <c r="C26" s="1"/>
      <c r="D26" s="1"/>
      <c r="E26" s="1"/>
      <c r="F26" s="1"/>
      <c r="I26">
        <v>43.881999999999998</v>
      </c>
      <c r="J26">
        <v>151.41</v>
      </c>
      <c r="N26" s="1"/>
      <c r="O26" s="1">
        <v>0</v>
      </c>
      <c r="P26" t="e">
        <f t="shared" si="7"/>
        <v>#NUM!</v>
      </c>
      <c r="Q26" t="e">
        <f t="shared" si="8"/>
        <v>#NUM!</v>
      </c>
      <c r="R26" t="e">
        <f t="shared" si="9"/>
        <v>#NUM!</v>
      </c>
    </row>
    <row r="27" spans="1:24">
      <c r="A27">
        <f t="shared" si="10"/>
        <v>1230.4590000000001</v>
      </c>
      <c r="B27">
        <v>25.5</v>
      </c>
      <c r="C27" s="1"/>
      <c r="D27" s="1"/>
      <c r="E27" s="1"/>
      <c r="F27" s="1"/>
      <c r="I27">
        <v>43.69</v>
      </c>
      <c r="J27">
        <v>151.16</v>
      </c>
      <c r="N27" s="1"/>
      <c r="O27" s="1">
        <v>0</v>
      </c>
      <c r="P27" t="e">
        <f t="shared" si="7"/>
        <v>#NUM!</v>
      </c>
      <c r="Q27" t="e">
        <f t="shared" si="8"/>
        <v>#NUM!</v>
      </c>
      <c r="R27" t="e">
        <f t="shared" si="9"/>
        <v>#NUM!</v>
      </c>
    </row>
    <row r="28" spans="1:24">
      <c r="A28">
        <f t="shared" si="10"/>
        <v>1230.9590000000001</v>
      </c>
      <c r="B28">
        <v>26.2</v>
      </c>
      <c r="C28" s="1"/>
      <c r="D28" s="1"/>
      <c r="E28" s="1"/>
      <c r="F28" s="1"/>
      <c r="I28">
        <v>43.237000000000002</v>
      </c>
      <c r="J28">
        <v>150.91999999999999</v>
      </c>
      <c r="N28" s="1"/>
      <c r="O28" s="1">
        <v>0</v>
      </c>
      <c r="P28" t="e">
        <f t="shared" si="7"/>
        <v>#NUM!</v>
      </c>
      <c r="Q28" t="e">
        <f t="shared" si="8"/>
        <v>#NUM!</v>
      </c>
      <c r="R28" t="e">
        <f t="shared" si="9"/>
        <v>#NUM!</v>
      </c>
    </row>
    <row r="29" spans="1:24">
      <c r="A29">
        <f t="shared" si="10"/>
        <v>1231.4590000000001</v>
      </c>
      <c r="B29">
        <v>26.9</v>
      </c>
      <c r="C29" s="1"/>
      <c r="D29" s="1"/>
      <c r="E29" s="1"/>
      <c r="F29" s="1"/>
      <c r="I29">
        <v>42.701999999999998</v>
      </c>
      <c r="J29">
        <v>150.69</v>
      </c>
      <c r="N29" s="1"/>
      <c r="O29" s="1">
        <v>0</v>
      </c>
      <c r="P29" t="e">
        <f t="shared" si="7"/>
        <v>#NUM!</v>
      </c>
      <c r="Q29" t="e">
        <f t="shared" si="8"/>
        <v>#NUM!</v>
      </c>
      <c r="R29" t="e">
        <f t="shared" si="9"/>
        <v>#NUM!</v>
      </c>
    </row>
    <row r="30" spans="1:24">
      <c r="A30">
        <f t="shared" si="10"/>
        <v>1231.9590000000001</v>
      </c>
      <c r="B30">
        <v>27.6</v>
      </c>
      <c r="C30" s="1"/>
      <c r="D30" s="1"/>
      <c r="E30" s="1"/>
      <c r="F30" s="1"/>
      <c r="I30">
        <v>42.398000000000003</v>
      </c>
      <c r="J30">
        <v>150.46</v>
      </c>
      <c r="N30" s="1"/>
      <c r="O30" s="1">
        <v>0</v>
      </c>
      <c r="P30" t="e">
        <f t="shared" si="7"/>
        <v>#NUM!</v>
      </c>
      <c r="Q30" t="e">
        <f t="shared" si="8"/>
        <v>#NUM!</v>
      </c>
      <c r="R30" t="e">
        <f t="shared" si="9"/>
        <v>#NUM!</v>
      </c>
    </row>
    <row r="31" spans="1:24">
      <c r="A31">
        <f t="shared" si="10"/>
        <v>1232.4590000000001</v>
      </c>
      <c r="B31">
        <v>28.4</v>
      </c>
      <c r="C31" s="1"/>
      <c r="D31" s="1"/>
      <c r="E31" s="1"/>
      <c r="F31" s="1"/>
      <c r="I31">
        <v>42.579000000000001</v>
      </c>
      <c r="J31">
        <v>150.24</v>
      </c>
      <c r="N31" s="1"/>
      <c r="O31" s="1">
        <v>0</v>
      </c>
      <c r="P31" t="e">
        <f t="shared" si="7"/>
        <v>#NUM!</v>
      </c>
      <c r="Q31" t="e">
        <f t="shared" si="8"/>
        <v>#NUM!</v>
      </c>
      <c r="R31" t="e">
        <f t="shared" si="9"/>
        <v>#NUM!</v>
      </c>
    </row>
    <row r="32" spans="1:24">
      <c r="A32">
        <f t="shared" si="10"/>
        <v>1232.9590000000001</v>
      </c>
      <c r="B32">
        <v>29.2</v>
      </c>
      <c r="C32" s="1"/>
      <c r="D32" s="1"/>
      <c r="E32" s="1"/>
      <c r="F32" s="1"/>
      <c r="I32">
        <v>43.058999999999997</v>
      </c>
      <c r="J32">
        <v>150.04</v>
      </c>
      <c r="N32" s="1"/>
      <c r="O32" s="1">
        <v>0</v>
      </c>
      <c r="P32" t="e">
        <f t="shared" si="7"/>
        <v>#NUM!</v>
      </c>
      <c r="Q32" t="e">
        <f t="shared" si="8"/>
        <v>#NUM!</v>
      </c>
      <c r="R32" t="e">
        <f t="shared" si="9"/>
        <v>#NUM!</v>
      </c>
    </row>
    <row r="33" spans="1:18">
      <c r="A33">
        <f t="shared" si="10"/>
        <v>1233.4590000000001</v>
      </c>
      <c r="B33">
        <v>30</v>
      </c>
      <c r="C33" s="1"/>
      <c r="D33" s="1"/>
      <c r="E33" s="1"/>
      <c r="F33" s="1"/>
      <c r="I33">
        <v>43.411999999999999</v>
      </c>
      <c r="J33">
        <v>149.84</v>
      </c>
      <c r="N33" s="1"/>
      <c r="O33" s="1">
        <v>0</v>
      </c>
      <c r="P33" t="e">
        <f t="shared" si="7"/>
        <v>#NUM!</v>
      </c>
      <c r="Q33" t="e">
        <f t="shared" si="8"/>
        <v>#NUM!</v>
      </c>
      <c r="R33" t="e">
        <f t="shared" si="9"/>
        <v>#NUM!</v>
      </c>
    </row>
    <row r="34" spans="1:18">
      <c r="A34">
        <f t="shared" si="10"/>
        <v>1233.9590000000001</v>
      </c>
      <c r="B34">
        <v>30.8</v>
      </c>
      <c r="C34" s="1"/>
      <c r="D34" s="1"/>
      <c r="E34" s="1"/>
      <c r="F34" s="1"/>
      <c r="I34">
        <v>43.43</v>
      </c>
      <c r="J34">
        <v>149.66</v>
      </c>
      <c r="N34" s="1"/>
      <c r="O34" s="1">
        <v>0</v>
      </c>
      <c r="P34" t="e">
        <f t="shared" si="7"/>
        <v>#NUM!</v>
      </c>
      <c r="Q34" t="e">
        <f t="shared" si="8"/>
        <v>#NUM!</v>
      </c>
      <c r="R34" t="e">
        <f t="shared" si="9"/>
        <v>#NUM!</v>
      </c>
    </row>
    <row r="35" spans="1:18">
      <c r="A35">
        <f t="shared" si="10"/>
        <v>1234.4590000000001</v>
      </c>
      <c r="B35">
        <v>31.6</v>
      </c>
      <c r="C35" s="1"/>
      <c r="D35" s="1"/>
      <c r="E35" s="1"/>
      <c r="F35" s="1"/>
      <c r="I35">
        <v>43.204000000000001</v>
      </c>
      <c r="J35">
        <v>149.49</v>
      </c>
      <c r="N35" s="1"/>
      <c r="O35" s="1">
        <v>0</v>
      </c>
      <c r="P35" t="e">
        <f t="shared" si="7"/>
        <v>#NUM!</v>
      </c>
      <c r="Q35" t="e">
        <f t="shared" si="8"/>
        <v>#NUM!</v>
      </c>
      <c r="R35" t="e">
        <f t="shared" si="9"/>
        <v>#NUM!</v>
      </c>
    </row>
    <row r="36" spans="1:18">
      <c r="A36">
        <f t="shared" si="10"/>
        <v>1234.9590000000001</v>
      </c>
      <c r="B36">
        <v>32.5</v>
      </c>
      <c r="C36" s="1"/>
      <c r="D36" s="1"/>
      <c r="E36" s="1"/>
      <c r="F36" s="1"/>
      <c r="I36">
        <v>42.984000000000002</v>
      </c>
      <c r="J36">
        <v>149.34</v>
      </c>
      <c r="N36" s="1"/>
      <c r="O36" s="1">
        <v>0</v>
      </c>
      <c r="P36" t="e">
        <f t="shared" si="7"/>
        <v>#NUM!</v>
      </c>
      <c r="Q36" t="e">
        <f t="shared" si="8"/>
        <v>#NUM!</v>
      </c>
      <c r="R36" t="e">
        <f t="shared" si="9"/>
        <v>#NUM!</v>
      </c>
    </row>
    <row r="37" spans="1:18">
      <c r="A37">
        <f t="shared" si="10"/>
        <v>1235.4590000000001</v>
      </c>
      <c r="B37">
        <v>33.4</v>
      </c>
      <c r="C37" s="1"/>
      <c r="D37" s="1"/>
      <c r="E37" s="1"/>
      <c r="F37" s="1"/>
      <c r="I37">
        <v>42.887</v>
      </c>
      <c r="J37">
        <v>149.19999999999999</v>
      </c>
      <c r="N37" s="1"/>
      <c r="O37" s="1">
        <v>0</v>
      </c>
      <c r="P37" t="e">
        <f t="shared" si="7"/>
        <v>#NUM!</v>
      </c>
      <c r="Q37" t="e">
        <f t="shared" si="8"/>
        <v>#NUM!</v>
      </c>
      <c r="R37" t="e">
        <f t="shared" si="9"/>
        <v>#NUM!</v>
      </c>
    </row>
    <row r="38" spans="1:18">
      <c r="A38">
        <f t="shared" si="10"/>
        <v>1235.9590000000001</v>
      </c>
      <c r="B38">
        <v>34.299999999999997</v>
      </c>
      <c r="C38" s="1"/>
      <c r="D38" s="1"/>
      <c r="E38" s="1"/>
      <c r="F38" s="1"/>
      <c r="I38">
        <v>42.767000000000003</v>
      </c>
      <c r="J38">
        <v>149.08000000000001</v>
      </c>
      <c r="N38" s="1"/>
      <c r="O38" s="1">
        <v>0</v>
      </c>
      <c r="P38" t="e">
        <f t="shared" si="7"/>
        <v>#NUM!</v>
      </c>
      <c r="Q38" t="e">
        <f t="shared" si="8"/>
        <v>#NUM!</v>
      </c>
      <c r="R38" t="e">
        <f t="shared" si="9"/>
        <v>#NUM!</v>
      </c>
    </row>
    <row r="39" spans="1:18">
      <c r="A39">
        <f t="shared" si="10"/>
        <v>1236.4590000000001</v>
      </c>
      <c r="B39">
        <v>35.200000000000003</v>
      </c>
      <c r="C39" s="1"/>
      <c r="D39" s="1"/>
      <c r="E39" s="1"/>
      <c r="F39" s="1"/>
      <c r="I39">
        <v>42.503</v>
      </c>
      <c r="J39">
        <v>148.97</v>
      </c>
      <c r="N39" s="1"/>
      <c r="O39" s="1">
        <v>0</v>
      </c>
      <c r="P39" t="e">
        <f t="shared" si="7"/>
        <v>#NUM!</v>
      </c>
      <c r="Q39" t="e">
        <f t="shared" si="8"/>
        <v>#NUM!</v>
      </c>
      <c r="R39" t="e">
        <f t="shared" si="9"/>
        <v>#NUM!</v>
      </c>
    </row>
    <row r="40" spans="1:18">
      <c r="A40">
        <f t="shared" si="10"/>
        <v>1236.9590000000001</v>
      </c>
      <c r="B40">
        <v>36.200000000000003</v>
      </c>
      <c r="C40" s="1"/>
      <c r="D40" s="1"/>
      <c r="E40" s="1"/>
      <c r="F40" s="1"/>
      <c r="I40">
        <v>42.161999999999999</v>
      </c>
      <c r="J40">
        <v>148.88</v>
      </c>
      <c r="N40" s="1"/>
      <c r="O40" s="1">
        <v>0</v>
      </c>
      <c r="P40" t="e">
        <f t="shared" si="7"/>
        <v>#NUM!</v>
      </c>
      <c r="Q40" t="e">
        <f t="shared" si="8"/>
        <v>#NUM!</v>
      </c>
      <c r="R40" t="e">
        <f t="shared" si="9"/>
        <v>#NUM!</v>
      </c>
    </row>
    <row r="41" spans="1:18">
      <c r="A41">
        <f t="shared" si="10"/>
        <v>1237.4590000000001</v>
      </c>
      <c r="B41">
        <v>37.200000000000003</v>
      </c>
      <c r="C41" s="1"/>
      <c r="D41" s="1"/>
      <c r="E41" s="1"/>
      <c r="F41" s="1"/>
      <c r="I41">
        <v>41.945999999999998</v>
      </c>
      <c r="J41">
        <v>148.81</v>
      </c>
      <c r="N41" s="1"/>
      <c r="O41" s="1">
        <v>0</v>
      </c>
      <c r="P41" t="e">
        <f t="shared" si="7"/>
        <v>#NUM!</v>
      </c>
      <c r="Q41" t="e">
        <f t="shared" si="8"/>
        <v>#NUM!</v>
      </c>
      <c r="R41" t="e">
        <f t="shared" si="9"/>
        <v>#NUM!</v>
      </c>
    </row>
    <row r="42" spans="1:18">
      <c r="A42">
        <f t="shared" si="10"/>
        <v>1237.9590000000001</v>
      </c>
      <c r="B42">
        <v>38.200000000000003</v>
      </c>
      <c r="C42" s="1"/>
      <c r="D42" s="1"/>
      <c r="E42" s="1"/>
      <c r="F42" s="1"/>
      <c r="I42">
        <v>41.999000000000002</v>
      </c>
      <c r="J42">
        <v>148.76</v>
      </c>
      <c r="N42" s="1"/>
      <c r="O42" s="1">
        <v>0</v>
      </c>
      <c r="P42" t="e">
        <f t="shared" si="7"/>
        <v>#NUM!</v>
      </c>
      <c r="Q42" t="e">
        <f t="shared" si="8"/>
        <v>#NUM!</v>
      </c>
      <c r="R42" t="e">
        <f t="shared" si="9"/>
        <v>#NUM!</v>
      </c>
    </row>
    <row r="43" spans="1:18">
      <c r="A43">
        <f t="shared" si="10"/>
        <v>1238.4590000000001</v>
      </c>
      <c r="B43">
        <v>39.299999999999997</v>
      </c>
      <c r="C43" s="1"/>
      <c r="D43" s="1"/>
      <c r="E43" s="1"/>
      <c r="F43" s="1"/>
      <c r="I43">
        <v>42.192999999999998</v>
      </c>
      <c r="J43">
        <v>148.72999999999999</v>
      </c>
      <c r="N43" s="1"/>
      <c r="O43" s="1">
        <v>0</v>
      </c>
      <c r="P43" t="e">
        <f t="shared" si="7"/>
        <v>#NUM!</v>
      </c>
      <c r="Q43" t="e">
        <f t="shared" si="8"/>
        <v>#NUM!</v>
      </c>
      <c r="R43" t="e">
        <f t="shared" si="9"/>
        <v>#NUM!</v>
      </c>
    </row>
    <row r="44" spans="1:18">
      <c r="A44">
        <f t="shared" si="10"/>
        <v>1238.9590000000001</v>
      </c>
      <c r="B44">
        <v>40.299999999999997</v>
      </c>
      <c r="C44" s="1"/>
      <c r="D44" s="1"/>
      <c r="E44" s="1"/>
      <c r="F44" s="1"/>
      <c r="I44">
        <v>42.249000000000002</v>
      </c>
      <c r="J44">
        <v>148.72</v>
      </c>
      <c r="N44" s="1"/>
      <c r="O44" s="1">
        <v>0</v>
      </c>
      <c r="P44" t="e">
        <f t="shared" si="7"/>
        <v>#NUM!</v>
      </c>
      <c r="Q44" t="e">
        <f t="shared" si="8"/>
        <v>#NUM!</v>
      </c>
      <c r="R44" t="e">
        <f t="shared" si="9"/>
        <v>#NUM!</v>
      </c>
    </row>
    <row r="45" spans="1:18">
      <c r="A45">
        <f t="shared" si="10"/>
        <v>1239.4590000000001</v>
      </c>
      <c r="B45">
        <v>41.4</v>
      </c>
      <c r="C45" s="1"/>
      <c r="D45" s="1"/>
      <c r="E45" s="1"/>
      <c r="F45" s="1"/>
      <c r="I45">
        <v>41.938000000000002</v>
      </c>
      <c r="J45">
        <v>148.72999999999999</v>
      </c>
      <c r="N45" s="1"/>
      <c r="O45" s="1">
        <v>0</v>
      </c>
      <c r="P45" t="e">
        <f t="shared" si="7"/>
        <v>#NUM!</v>
      </c>
      <c r="Q45" t="e">
        <f t="shared" si="8"/>
        <v>#NUM!</v>
      </c>
      <c r="R45" t="e">
        <f t="shared" si="9"/>
        <v>#NUM!</v>
      </c>
    </row>
    <row r="46" spans="1:18">
      <c r="A46">
        <f t="shared" si="10"/>
        <v>1239.9590000000001</v>
      </c>
      <c r="B46">
        <v>42.6</v>
      </c>
      <c r="C46" s="1"/>
      <c r="D46" s="1"/>
      <c r="E46" s="1"/>
      <c r="F46" s="1"/>
      <c r="I46">
        <v>41.378999999999998</v>
      </c>
      <c r="J46">
        <v>148.77000000000001</v>
      </c>
      <c r="N46" s="1"/>
      <c r="O46" s="1">
        <v>0</v>
      </c>
      <c r="P46" t="e">
        <f t="shared" si="7"/>
        <v>#NUM!</v>
      </c>
      <c r="Q46" t="e">
        <f t="shared" si="8"/>
        <v>#NUM!</v>
      </c>
      <c r="R46" t="e">
        <f t="shared" si="9"/>
        <v>#NUM!</v>
      </c>
    </row>
    <row r="47" spans="1:18">
      <c r="A47">
        <f t="shared" si="10"/>
        <v>1240.4590000000001</v>
      </c>
      <c r="B47">
        <v>43.7</v>
      </c>
      <c r="C47" s="1"/>
      <c r="D47" s="1"/>
      <c r="E47" s="1"/>
      <c r="F47" s="1"/>
      <c r="I47">
        <v>40.966999999999999</v>
      </c>
      <c r="J47">
        <v>148.83000000000001</v>
      </c>
      <c r="N47" s="1"/>
      <c r="O47" s="1">
        <v>0</v>
      </c>
      <c r="P47" t="e">
        <f t="shared" si="7"/>
        <v>#NUM!</v>
      </c>
      <c r="Q47" t="e">
        <f t="shared" si="8"/>
        <v>#NUM!</v>
      </c>
      <c r="R47" t="e">
        <f t="shared" si="9"/>
        <v>#NUM!</v>
      </c>
    </row>
    <row r="48" spans="1:18">
      <c r="A48">
        <f t="shared" si="10"/>
        <v>1240.9590000000001</v>
      </c>
      <c r="B48">
        <v>44.9</v>
      </c>
      <c r="C48" s="1"/>
      <c r="D48" s="1"/>
      <c r="E48" s="1"/>
      <c r="F48" s="1"/>
      <c r="I48">
        <v>40.845999999999997</v>
      </c>
      <c r="J48">
        <v>148.91</v>
      </c>
      <c r="N48" s="1"/>
      <c r="O48" s="1">
        <v>0</v>
      </c>
      <c r="P48" t="e">
        <f t="shared" si="7"/>
        <v>#NUM!</v>
      </c>
      <c r="Q48" t="e">
        <f t="shared" si="8"/>
        <v>#NUM!</v>
      </c>
      <c r="R48" t="e">
        <f t="shared" si="9"/>
        <v>#NUM!</v>
      </c>
    </row>
    <row r="49" spans="1:18">
      <c r="A49">
        <f t="shared" si="10"/>
        <v>1241.4590000000001</v>
      </c>
      <c r="B49">
        <v>46.2</v>
      </c>
      <c r="C49" s="1"/>
      <c r="D49" s="1"/>
      <c r="E49" s="1"/>
      <c r="F49" s="1"/>
      <c r="I49">
        <v>40.857999999999997</v>
      </c>
      <c r="J49">
        <v>149.03</v>
      </c>
      <c r="N49" s="1"/>
      <c r="O49" s="1">
        <v>0</v>
      </c>
      <c r="P49" t="e">
        <f t="shared" si="7"/>
        <v>#NUM!</v>
      </c>
      <c r="Q49" t="e">
        <f t="shared" si="8"/>
        <v>#NUM!</v>
      </c>
      <c r="R49" t="e">
        <f t="shared" si="9"/>
        <v>#NUM!</v>
      </c>
    </row>
    <row r="50" spans="1:18">
      <c r="A50">
        <f t="shared" si="10"/>
        <v>1241.9590000000001</v>
      </c>
      <c r="B50">
        <v>47.4</v>
      </c>
      <c r="C50" s="1"/>
      <c r="D50" s="1"/>
      <c r="E50" s="1"/>
      <c r="F50" s="1"/>
      <c r="I50">
        <v>40.787999999999997</v>
      </c>
      <c r="J50">
        <v>149.16</v>
      </c>
      <c r="N50" s="1"/>
      <c r="O50" s="1">
        <v>0</v>
      </c>
      <c r="P50" t="e">
        <f t="shared" si="7"/>
        <v>#NUM!</v>
      </c>
      <c r="Q50" t="e">
        <f t="shared" si="8"/>
        <v>#NUM!</v>
      </c>
      <c r="R50" t="e">
        <f t="shared" si="9"/>
        <v>#NUM!</v>
      </c>
    </row>
    <row r="51" spans="1:18">
      <c r="A51">
        <f t="shared" si="10"/>
        <v>1242.4590000000001</v>
      </c>
      <c r="B51">
        <v>48.7</v>
      </c>
      <c r="C51" s="1"/>
      <c r="D51" s="1"/>
      <c r="E51" s="1"/>
      <c r="F51" s="1"/>
      <c r="I51">
        <v>40.593000000000004</v>
      </c>
      <c r="J51">
        <v>149.33000000000001</v>
      </c>
      <c r="N51" s="1"/>
      <c r="O51" s="1">
        <v>0</v>
      </c>
      <c r="P51" t="e">
        <f t="shared" si="7"/>
        <v>#NUM!</v>
      </c>
      <c r="Q51" t="e">
        <f t="shared" si="8"/>
        <v>#NUM!</v>
      </c>
      <c r="R51" t="e">
        <f t="shared" si="9"/>
        <v>#NUM!</v>
      </c>
    </row>
    <row r="52" spans="1:18">
      <c r="A52">
        <f t="shared" si="10"/>
        <v>1242.9590000000001</v>
      </c>
      <c r="B52">
        <v>50.1</v>
      </c>
      <c r="C52" s="1"/>
      <c r="D52" s="1"/>
      <c r="E52" s="1"/>
      <c r="F52" s="1"/>
      <c r="I52">
        <v>40.427</v>
      </c>
      <c r="J52">
        <v>149.52000000000001</v>
      </c>
      <c r="N52" s="1"/>
      <c r="O52" s="1">
        <v>0</v>
      </c>
      <c r="P52" t="e">
        <f t="shared" si="7"/>
        <v>#NUM!</v>
      </c>
      <c r="Q52" t="e">
        <f t="shared" si="8"/>
        <v>#NUM!</v>
      </c>
      <c r="R52" t="e">
        <f t="shared" si="9"/>
        <v>#NUM!</v>
      </c>
    </row>
    <row r="53" spans="1:18">
      <c r="A53">
        <f t="shared" si="10"/>
        <v>1243.4590000000001</v>
      </c>
      <c r="B53">
        <v>51.4</v>
      </c>
      <c r="C53" s="1"/>
      <c r="D53" s="1"/>
      <c r="E53" s="1"/>
      <c r="F53" s="1"/>
      <c r="I53">
        <v>40.371000000000002</v>
      </c>
      <c r="J53">
        <v>149.74</v>
      </c>
      <c r="N53" s="1"/>
      <c r="O53" s="1">
        <v>0</v>
      </c>
      <c r="P53" t="e">
        <f t="shared" si="7"/>
        <v>#NUM!</v>
      </c>
      <c r="Q53" t="e">
        <f t="shared" si="8"/>
        <v>#NUM!</v>
      </c>
      <c r="R53" t="e">
        <f t="shared" si="9"/>
        <v>#NUM!</v>
      </c>
    </row>
    <row r="54" spans="1:18">
      <c r="A54">
        <f t="shared" si="10"/>
        <v>1243.9590000000001</v>
      </c>
      <c r="B54">
        <v>52.8</v>
      </c>
      <c r="C54" s="1"/>
      <c r="D54" s="1"/>
      <c r="E54" s="1"/>
      <c r="F54" s="1"/>
      <c r="I54">
        <v>40.33</v>
      </c>
      <c r="J54">
        <v>150</v>
      </c>
      <c r="N54" s="1"/>
      <c r="O54" s="1">
        <v>0</v>
      </c>
      <c r="P54" t="e">
        <f t="shared" si="7"/>
        <v>#NUM!</v>
      </c>
      <c r="Q54" t="e">
        <f t="shared" si="8"/>
        <v>#NUM!</v>
      </c>
      <c r="R54" t="e">
        <f t="shared" si="9"/>
        <v>#NUM!</v>
      </c>
    </row>
    <row r="55" spans="1:18">
      <c r="A55">
        <f t="shared" si="10"/>
        <v>1244.4590000000001</v>
      </c>
      <c r="B55">
        <v>54.3</v>
      </c>
      <c r="C55" s="1"/>
      <c r="D55" s="1"/>
      <c r="E55" s="1"/>
      <c r="F55" s="1"/>
      <c r="I55">
        <v>40.191000000000003</v>
      </c>
      <c r="J55">
        <v>150.28</v>
      </c>
      <c r="N55" s="1"/>
      <c r="O55" s="1">
        <v>0</v>
      </c>
      <c r="P55" t="e">
        <f t="shared" si="7"/>
        <v>#NUM!</v>
      </c>
      <c r="Q55" t="e">
        <f t="shared" si="8"/>
        <v>#NUM!</v>
      </c>
      <c r="R55" t="e">
        <f t="shared" si="9"/>
        <v>#NUM!</v>
      </c>
    </row>
    <row r="56" spans="1:18">
      <c r="A56">
        <f t="shared" si="10"/>
        <v>1244.9590000000001</v>
      </c>
      <c r="B56">
        <v>55.8</v>
      </c>
      <c r="C56" s="1"/>
      <c r="D56" s="1"/>
      <c r="E56" s="1"/>
      <c r="F56" s="1"/>
      <c r="I56">
        <v>40.054000000000002</v>
      </c>
      <c r="J56">
        <v>150.59</v>
      </c>
      <c r="N56" s="1"/>
      <c r="O56" s="1">
        <v>0</v>
      </c>
      <c r="P56" t="e">
        <f t="shared" si="7"/>
        <v>#NUM!</v>
      </c>
      <c r="Q56" t="e">
        <f t="shared" si="8"/>
        <v>#NUM!</v>
      </c>
      <c r="R56" t="e">
        <f t="shared" si="9"/>
        <v>#NUM!</v>
      </c>
    </row>
    <row r="57" spans="1:18">
      <c r="A57">
        <f t="shared" si="10"/>
        <v>1245.4590000000001</v>
      </c>
      <c r="B57">
        <v>57.3</v>
      </c>
      <c r="C57" s="1"/>
      <c r="D57" s="1"/>
      <c r="E57" s="1"/>
      <c r="F57" s="1"/>
      <c r="I57">
        <v>40.076999999999998</v>
      </c>
      <c r="J57">
        <v>150.94</v>
      </c>
      <c r="N57" s="1"/>
      <c r="O57" s="1">
        <v>0</v>
      </c>
      <c r="P57" t="e">
        <f t="shared" si="7"/>
        <v>#NUM!</v>
      </c>
      <c r="Q57" t="e">
        <f t="shared" si="8"/>
        <v>#NUM!</v>
      </c>
      <c r="R57" t="e">
        <f t="shared" si="9"/>
        <v>#NUM!</v>
      </c>
    </row>
    <row r="58" spans="1:18">
      <c r="A58">
        <f t="shared" si="10"/>
        <v>1245.9590000000001</v>
      </c>
      <c r="B58">
        <v>58.9</v>
      </c>
      <c r="C58" s="1"/>
      <c r="D58" s="1"/>
      <c r="E58" s="1"/>
      <c r="F58" s="1"/>
      <c r="I58">
        <v>40.167999999999999</v>
      </c>
      <c r="J58">
        <v>151.32</v>
      </c>
      <c r="N58" s="1"/>
      <c r="O58" s="1">
        <v>0</v>
      </c>
      <c r="P58" t="e">
        <f t="shared" si="7"/>
        <v>#NUM!</v>
      </c>
      <c r="Q58" t="e">
        <f t="shared" si="8"/>
        <v>#NUM!</v>
      </c>
      <c r="R58" t="e">
        <f t="shared" si="9"/>
        <v>#NUM!</v>
      </c>
    </row>
    <row r="59" spans="1:18">
      <c r="A59">
        <f t="shared" si="10"/>
        <v>1246.4590000000001</v>
      </c>
      <c r="B59">
        <v>60.5</v>
      </c>
      <c r="C59" s="1"/>
      <c r="D59" s="1"/>
      <c r="E59" s="1"/>
      <c r="F59" s="1"/>
      <c r="I59">
        <v>40.140999999999998</v>
      </c>
      <c r="J59">
        <v>151.72999999999999</v>
      </c>
      <c r="N59" s="1"/>
      <c r="O59" s="1">
        <v>0</v>
      </c>
      <c r="P59" t="e">
        <f t="shared" si="7"/>
        <v>#NUM!</v>
      </c>
      <c r="Q59" t="e">
        <f t="shared" si="8"/>
        <v>#NUM!</v>
      </c>
      <c r="R59" t="e">
        <f t="shared" si="9"/>
        <v>#NUM!</v>
      </c>
    </row>
    <row r="60" spans="1:18">
      <c r="A60">
        <f t="shared" si="10"/>
        <v>1246.9590000000001</v>
      </c>
      <c r="B60">
        <v>62.1</v>
      </c>
      <c r="C60" s="1"/>
      <c r="D60" s="1"/>
      <c r="E60" s="1"/>
      <c r="F60" s="1"/>
      <c r="I60">
        <v>39.899000000000001</v>
      </c>
      <c r="J60">
        <v>152.16999999999999</v>
      </c>
      <c r="N60" s="1"/>
      <c r="O60" s="1">
        <v>0</v>
      </c>
      <c r="P60" t="e">
        <f t="shared" si="7"/>
        <v>#NUM!</v>
      </c>
      <c r="Q60" t="e">
        <f t="shared" si="8"/>
        <v>#NUM!</v>
      </c>
      <c r="R60" t="e">
        <f t="shared" si="9"/>
        <v>#NUM!</v>
      </c>
    </row>
    <row r="61" spans="1:18">
      <c r="A61">
        <f t="shared" si="10"/>
        <v>1247.4590000000001</v>
      </c>
      <c r="B61">
        <v>63.8</v>
      </c>
      <c r="C61" s="1"/>
      <c r="D61" s="1"/>
      <c r="E61" s="1"/>
      <c r="F61" s="1"/>
      <c r="I61">
        <v>39.588000000000001</v>
      </c>
      <c r="J61">
        <v>152.65</v>
      </c>
      <c r="N61" s="1"/>
      <c r="O61" s="1">
        <v>0</v>
      </c>
      <c r="P61" t="e">
        <f t="shared" si="7"/>
        <v>#NUM!</v>
      </c>
      <c r="Q61" t="e">
        <f t="shared" si="8"/>
        <v>#NUM!</v>
      </c>
      <c r="R61" t="e">
        <f t="shared" si="9"/>
        <v>#NUM!</v>
      </c>
    </row>
    <row r="62" spans="1:18">
      <c r="A62">
        <f t="shared" si="10"/>
        <v>1247.9590000000001</v>
      </c>
      <c r="B62">
        <v>65.599999999999994</v>
      </c>
      <c r="C62" s="1"/>
      <c r="D62" s="1"/>
      <c r="E62" s="1"/>
      <c r="F62" s="1"/>
      <c r="I62">
        <v>39.567</v>
      </c>
      <c r="J62">
        <v>153.16</v>
      </c>
      <c r="N62" s="1"/>
      <c r="O62" s="1">
        <v>0</v>
      </c>
      <c r="P62" t="e">
        <f t="shared" si="7"/>
        <v>#NUM!</v>
      </c>
      <c r="Q62" t="e">
        <f t="shared" si="8"/>
        <v>#NUM!</v>
      </c>
      <c r="R62" t="e">
        <f t="shared" si="9"/>
        <v>#NUM!</v>
      </c>
    </row>
    <row r="63" spans="1:18">
      <c r="A63">
        <f t="shared" si="10"/>
        <v>1248.4590000000001</v>
      </c>
      <c r="B63">
        <v>67.400000000000006</v>
      </c>
      <c r="C63" s="1"/>
      <c r="D63" s="1"/>
      <c r="E63" s="1"/>
      <c r="F63" s="1"/>
      <c r="I63">
        <v>39.851999999999997</v>
      </c>
      <c r="J63">
        <v>153.69999999999999</v>
      </c>
      <c r="N63" s="1"/>
      <c r="O63" s="1">
        <v>0</v>
      </c>
      <c r="P63" t="e">
        <f t="shared" si="7"/>
        <v>#NUM!</v>
      </c>
      <c r="Q63" t="e">
        <f t="shared" si="8"/>
        <v>#NUM!</v>
      </c>
      <c r="R63" t="e">
        <f t="shared" si="9"/>
        <v>#NUM!</v>
      </c>
    </row>
    <row r="64" spans="1:18">
      <c r="A64">
        <f t="shared" si="10"/>
        <v>1248.9590000000001</v>
      </c>
      <c r="B64">
        <v>69.2</v>
      </c>
      <c r="C64" s="1"/>
      <c r="D64" s="1"/>
      <c r="E64" s="1"/>
      <c r="F64" s="1"/>
      <c r="I64">
        <v>40.084000000000003</v>
      </c>
      <c r="J64">
        <v>154.28</v>
      </c>
      <c r="N64" s="1"/>
      <c r="O64" s="1">
        <v>0</v>
      </c>
      <c r="P64" t="e">
        <f t="shared" si="7"/>
        <v>#NUM!</v>
      </c>
      <c r="Q64" t="e">
        <f t="shared" si="8"/>
        <v>#NUM!</v>
      </c>
      <c r="R64" t="e">
        <f t="shared" si="9"/>
        <v>#NUM!</v>
      </c>
    </row>
    <row r="65" spans="1:18">
      <c r="A65">
        <f t="shared" si="10"/>
        <v>1249.4590000000001</v>
      </c>
      <c r="B65">
        <v>71.099999999999994</v>
      </c>
      <c r="C65" s="1"/>
      <c r="D65" s="1"/>
      <c r="E65" s="1"/>
      <c r="F65" s="1"/>
      <c r="I65">
        <v>40.011000000000003</v>
      </c>
      <c r="J65">
        <v>154.9</v>
      </c>
      <c r="N65" s="1"/>
      <c r="O65" s="1">
        <v>0</v>
      </c>
      <c r="P65" t="e">
        <f t="shared" si="7"/>
        <v>#NUM!</v>
      </c>
      <c r="Q65" t="e">
        <f t="shared" si="8"/>
        <v>#NUM!</v>
      </c>
      <c r="R65" t="e">
        <f t="shared" si="9"/>
        <v>#NUM!</v>
      </c>
    </row>
    <row r="66" spans="1:18">
      <c r="A66">
        <f t="shared" si="10"/>
        <v>1249.9590000000001</v>
      </c>
      <c r="B66">
        <v>73.099999999999994</v>
      </c>
      <c r="C66" s="1"/>
      <c r="D66" s="1"/>
      <c r="E66" s="1"/>
      <c r="F66" s="1"/>
      <c r="I66">
        <v>39.674999999999997</v>
      </c>
      <c r="J66">
        <v>155.55000000000001</v>
      </c>
      <c r="N66" s="1"/>
      <c r="O66" s="1">
        <v>0</v>
      </c>
      <c r="P66" t="e">
        <f t="shared" si="7"/>
        <v>#NUM!</v>
      </c>
      <c r="Q66" t="e">
        <f t="shared" si="8"/>
        <v>#NUM!</v>
      </c>
      <c r="R66" t="e">
        <f t="shared" si="9"/>
        <v>#NUM!</v>
      </c>
    </row>
    <row r="67" spans="1:18">
      <c r="A67">
        <f t="shared" si="10"/>
        <v>1250.4590000000001</v>
      </c>
      <c r="B67">
        <v>75.099999999999994</v>
      </c>
      <c r="C67" s="1"/>
      <c r="D67" s="1"/>
      <c r="E67" s="1"/>
      <c r="F67" s="1"/>
      <c r="I67">
        <v>39.374000000000002</v>
      </c>
      <c r="J67">
        <v>156.22999999999999</v>
      </c>
      <c r="N67" s="1"/>
      <c r="O67" s="1">
        <v>0</v>
      </c>
      <c r="P67" t="e">
        <f t="shared" si="7"/>
        <v>#NUM!</v>
      </c>
      <c r="Q67" t="e">
        <f t="shared" si="8"/>
        <v>#NUM!</v>
      </c>
      <c r="R67" t="e">
        <f t="shared" si="9"/>
        <v>#NUM!</v>
      </c>
    </row>
    <row r="68" spans="1:18">
      <c r="A68">
        <f t="shared" si="10"/>
        <v>1250.9590000000001</v>
      </c>
      <c r="B68">
        <v>77.099999999999994</v>
      </c>
      <c r="C68" s="1"/>
      <c r="D68" s="1"/>
      <c r="E68" s="1"/>
      <c r="F68" s="1"/>
      <c r="I68">
        <v>39.268999999999998</v>
      </c>
      <c r="J68">
        <v>156.94999999999999</v>
      </c>
      <c r="N68" s="1"/>
      <c r="O68" s="1">
        <v>0</v>
      </c>
      <c r="P68" t="e">
        <f t="shared" si="7"/>
        <v>#NUM!</v>
      </c>
      <c r="Q68" t="e">
        <f t="shared" si="8"/>
        <v>#NUM!</v>
      </c>
      <c r="R68" t="e">
        <f t="shared" si="9"/>
        <v>#NUM!</v>
      </c>
    </row>
    <row r="69" spans="1:18">
      <c r="A69">
        <f t="shared" si="10"/>
        <v>1251.4590000000001</v>
      </c>
      <c r="B69">
        <v>79.3</v>
      </c>
      <c r="C69" s="1"/>
      <c r="D69" s="1"/>
      <c r="E69" s="1"/>
      <c r="F69" s="1"/>
      <c r="I69">
        <v>39.198</v>
      </c>
      <c r="J69">
        <v>157.71</v>
      </c>
      <c r="N69" s="1"/>
      <c r="O69" s="1">
        <v>0</v>
      </c>
      <c r="P69" t="e">
        <f t="shared" si="7"/>
        <v>#NUM!</v>
      </c>
      <c r="Q69" t="e">
        <f t="shared" si="8"/>
        <v>#NUM!</v>
      </c>
      <c r="R69" t="e">
        <f t="shared" si="9"/>
        <v>#NUM!</v>
      </c>
    </row>
    <row r="70" spans="1:18">
      <c r="A70">
        <f t="shared" si="10"/>
        <v>1251.9590000000001</v>
      </c>
      <c r="B70">
        <v>81.400000000000006</v>
      </c>
      <c r="C70" s="1"/>
      <c r="D70" s="1"/>
      <c r="E70" s="1"/>
      <c r="F70" s="1"/>
      <c r="I70">
        <v>39.113999999999997</v>
      </c>
      <c r="J70">
        <v>158.5</v>
      </c>
      <c r="N70" s="1"/>
      <c r="O70" s="1">
        <v>0</v>
      </c>
      <c r="P70" t="e">
        <f t="shared" si="7"/>
        <v>#NUM!</v>
      </c>
      <c r="Q70" t="e">
        <f t="shared" si="8"/>
        <v>#NUM!</v>
      </c>
      <c r="R70" t="e">
        <f t="shared" si="9"/>
        <v>#NUM!</v>
      </c>
    </row>
    <row r="71" spans="1:18">
      <c r="A71">
        <f t="shared" si="10"/>
        <v>1252.4590000000001</v>
      </c>
      <c r="B71">
        <v>83.7</v>
      </c>
      <c r="C71" s="1"/>
      <c r="D71" s="1"/>
      <c r="E71" s="1"/>
      <c r="F71" s="1"/>
      <c r="I71">
        <v>39.143000000000001</v>
      </c>
      <c r="J71">
        <v>159.32</v>
      </c>
      <c r="N71" s="1"/>
      <c r="O71" s="1">
        <v>0</v>
      </c>
      <c r="P71" t="e">
        <f t="shared" si="7"/>
        <v>#NUM!</v>
      </c>
      <c r="Q71" t="e">
        <f t="shared" si="8"/>
        <v>#NUM!</v>
      </c>
      <c r="R71" t="e">
        <f t="shared" si="9"/>
        <v>#NUM!</v>
      </c>
    </row>
    <row r="72" spans="1:18">
      <c r="A72">
        <f t="shared" si="10"/>
        <v>1252.9590000000001</v>
      </c>
      <c r="B72">
        <v>86</v>
      </c>
      <c r="C72" s="1"/>
      <c r="D72" s="1"/>
      <c r="E72" s="1"/>
      <c r="F72" s="1"/>
      <c r="I72">
        <v>39.304000000000002</v>
      </c>
      <c r="J72">
        <v>160.18</v>
      </c>
      <c r="N72" s="1"/>
      <c r="O72" s="1">
        <v>0</v>
      </c>
      <c r="P72" t="e">
        <f t="shared" si="7"/>
        <v>#NUM!</v>
      </c>
      <c r="Q72" t="e">
        <f t="shared" si="8"/>
        <v>#NUM!</v>
      </c>
      <c r="R72" t="e">
        <f t="shared" si="9"/>
        <v>#NUM!</v>
      </c>
    </row>
    <row r="73" spans="1:18">
      <c r="A73">
        <f t="shared" si="10"/>
        <v>1253.4590000000001</v>
      </c>
      <c r="B73">
        <v>88.3</v>
      </c>
      <c r="C73" s="1"/>
      <c r="D73" s="1"/>
      <c r="E73" s="1"/>
      <c r="F73" s="1"/>
      <c r="I73">
        <v>39.494</v>
      </c>
      <c r="J73">
        <v>161.08000000000001</v>
      </c>
      <c r="N73" s="1"/>
      <c r="O73" s="1">
        <v>0</v>
      </c>
      <c r="P73" t="e">
        <f t="shared" si="7"/>
        <v>#NUM!</v>
      </c>
      <c r="Q73" t="e">
        <f t="shared" si="8"/>
        <v>#NUM!</v>
      </c>
      <c r="R73" t="e">
        <f t="shared" si="9"/>
        <v>#NUM!</v>
      </c>
    </row>
    <row r="74" spans="1:18">
      <c r="A74">
        <f t="shared" si="10"/>
        <v>1253.9590000000001</v>
      </c>
      <c r="B74">
        <v>90.7</v>
      </c>
      <c r="C74" s="1"/>
      <c r="D74" s="1"/>
      <c r="E74" s="1"/>
      <c r="F74" s="1"/>
      <c r="I74">
        <v>39.606999999999999</v>
      </c>
      <c r="J74">
        <v>162.01</v>
      </c>
      <c r="N74" s="1"/>
      <c r="O74" s="1">
        <v>0</v>
      </c>
      <c r="P74" t="e">
        <f t="shared" si="7"/>
        <v>#NUM!</v>
      </c>
      <c r="Q74" t="e">
        <f t="shared" si="8"/>
        <v>#NUM!</v>
      </c>
      <c r="R74" t="e">
        <f t="shared" si="9"/>
        <v>#NUM!</v>
      </c>
    </row>
    <row r="75" spans="1:18">
      <c r="A75">
        <f t="shared" si="10"/>
        <v>1254.4590000000001</v>
      </c>
      <c r="B75">
        <v>93.2</v>
      </c>
      <c r="C75" s="1"/>
      <c r="D75" s="1"/>
      <c r="E75" s="1"/>
      <c r="F75" s="1"/>
      <c r="I75">
        <v>39.613</v>
      </c>
      <c r="J75">
        <v>162.97</v>
      </c>
      <c r="N75" s="1"/>
      <c r="O75" s="1">
        <v>0</v>
      </c>
      <c r="P75" t="e">
        <f t="shared" si="7"/>
        <v>#NUM!</v>
      </c>
      <c r="Q75" t="e">
        <f t="shared" si="8"/>
        <v>#NUM!</v>
      </c>
      <c r="R75" t="e">
        <f t="shared" si="9"/>
        <v>#NUM!</v>
      </c>
    </row>
    <row r="76" spans="1:18">
      <c r="A76">
        <f t="shared" si="10"/>
        <v>1254.9590000000001</v>
      </c>
      <c r="B76">
        <v>95.8</v>
      </c>
      <c r="C76" s="1"/>
      <c r="D76" s="1"/>
      <c r="E76" s="1"/>
      <c r="F76" s="1"/>
      <c r="I76">
        <v>39.54</v>
      </c>
      <c r="J76">
        <v>163.96</v>
      </c>
      <c r="N76" s="1"/>
      <c r="O76" s="1">
        <v>0</v>
      </c>
      <c r="P76" t="e">
        <f t="shared" si="7"/>
        <v>#NUM!</v>
      </c>
      <c r="Q76" t="e">
        <f t="shared" si="8"/>
        <v>#NUM!</v>
      </c>
      <c r="R76" t="e">
        <f t="shared" si="9"/>
        <v>#NUM!</v>
      </c>
    </row>
    <row r="77" spans="1:18">
      <c r="A77">
        <f t="shared" si="10"/>
        <v>1255.4590000000001</v>
      </c>
      <c r="B77">
        <v>98.4</v>
      </c>
      <c r="C77" s="1"/>
      <c r="D77" s="1"/>
      <c r="E77" s="1"/>
      <c r="F77" s="1"/>
      <c r="I77">
        <v>39.378</v>
      </c>
      <c r="J77">
        <v>164.98</v>
      </c>
      <c r="N77" s="1"/>
      <c r="O77" s="1">
        <v>0</v>
      </c>
      <c r="P77" t="e">
        <f t="shared" si="7"/>
        <v>#NUM!</v>
      </c>
      <c r="Q77" t="e">
        <f t="shared" si="8"/>
        <v>#NUM!</v>
      </c>
      <c r="R77" t="e">
        <f t="shared" si="9"/>
        <v>#NUM!</v>
      </c>
    </row>
    <row r="78" spans="1:18">
      <c r="A78">
        <f t="shared" si="10"/>
        <v>1255.9590000000001</v>
      </c>
      <c r="B78">
        <v>101.1</v>
      </c>
      <c r="C78" s="1"/>
      <c r="D78" s="1"/>
      <c r="E78" s="1"/>
      <c r="F78" s="1"/>
      <c r="I78">
        <v>39.167999999999999</v>
      </c>
      <c r="J78">
        <v>166.04</v>
      </c>
      <c r="N78" s="1"/>
      <c r="O78" s="1">
        <v>0</v>
      </c>
      <c r="P78" t="e">
        <f t="shared" si="7"/>
        <v>#NUM!</v>
      </c>
      <c r="Q78" t="e">
        <f t="shared" si="8"/>
        <v>#NUM!</v>
      </c>
      <c r="R78" t="e">
        <f t="shared" si="9"/>
        <v>#NUM!</v>
      </c>
    </row>
    <row r="79" spans="1:18">
      <c r="A79">
        <f t="shared" si="10"/>
        <v>1256.4590000000001</v>
      </c>
      <c r="B79">
        <v>103.8</v>
      </c>
      <c r="C79" s="1"/>
      <c r="D79" s="1"/>
      <c r="E79" s="1"/>
      <c r="F79" s="1"/>
      <c r="I79">
        <v>39.051000000000002</v>
      </c>
      <c r="J79">
        <v>167.12</v>
      </c>
      <c r="N79" s="1"/>
      <c r="O79" s="1">
        <v>0</v>
      </c>
      <c r="P79" t="e">
        <f t="shared" si="7"/>
        <v>#NUM!</v>
      </c>
      <c r="Q79" t="e">
        <f t="shared" si="8"/>
        <v>#NUM!</v>
      </c>
      <c r="R79" t="e">
        <f t="shared" si="9"/>
        <v>#NUM!</v>
      </c>
    </row>
    <row r="80" spans="1:18">
      <c r="A80">
        <f t="shared" si="10"/>
        <v>1256.9590000000001</v>
      </c>
      <c r="B80">
        <v>106.7</v>
      </c>
      <c r="C80" s="1"/>
      <c r="D80" s="1"/>
      <c r="E80" s="1"/>
      <c r="F80" s="1"/>
      <c r="I80">
        <v>39.055</v>
      </c>
      <c r="J80">
        <v>168.23</v>
      </c>
      <c r="N80" s="1"/>
      <c r="O80" s="1">
        <v>0</v>
      </c>
      <c r="P80" t="e">
        <f t="shared" si="7"/>
        <v>#NUM!</v>
      </c>
      <c r="Q80" t="e">
        <f t="shared" si="8"/>
        <v>#NUM!</v>
      </c>
      <c r="R80" t="e">
        <f t="shared" si="9"/>
        <v>#NUM!</v>
      </c>
    </row>
    <row r="81" spans="1:18">
      <c r="A81">
        <f t="shared" si="10"/>
        <v>1257.4590000000001</v>
      </c>
      <c r="B81">
        <v>109.6</v>
      </c>
      <c r="C81" s="1"/>
      <c r="D81" s="1"/>
      <c r="E81" s="1"/>
      <c r="F81" s="1"/>
      <c r="I81">
        <v>39.182000000000002</v>
      </c>
      <c r="J81">
        <v>169.37</v>
      </c>
      <c r="N81" s="1"/>
      <c r="O81" s="1">
        <v>0</v>
      </c>
      <c r="P81" t="e">
        <f t="shared" si="7"/>
        <v>#NUM!</v>
      </c>
      <c r="Q81" t="e">
        <f t="shared" si="8"/>
        <v>#NUM!</v>
      </c>
      <c r="R81" t="e">
        <f t="shared" si="9"/>
        <v>#NUM!</v>
      </c>
    </row>
    <row r="82" spans="1:18">
      <c r="A82">
        <f t="shared" si="10"/>
        <v>1257.9590000000001</v>
      </c>
      <c r="B82">
        <v>112.6</v>
      </c>
      <c r="C82" s="1"/>
      <c r="D82" s="1"/>
      <c r="E82" s="1"/>
      <c r="F82" s="1"/>
      <c r="I82">
        <v>39.466999999999999</v>
      </c>
      <c r="J82">
        <v>170.53</v>
      </c>
      <c r="N82" s="1"/>
      <c r="O82" s="1">
        <v>0</v>
      </c>
      <c r="P82" t="e">
        <f t="shared" ref="P82:P145" si="11">20*LOG(P$12*$C82/0.00002)-$N82-$O82</f>
        <v>#NUM!</v>
      </c>
      <c r="Q82" t="e">
        <f t="shared" ref="Q82:Q145" si="12">20*LOG(Q$12*$E82/0.00002)-$N82-$O82</f>
        <v>#NUM!</v>
      </c>
      <c r="R82" t="e">
        <f t="shared" ref="R82:R145" si="13">20*LOG(R$12*$G82/0.00002)-$N82-$O82</f>
        <v>#NUM!</v>
      </c>
    </row>
    <row r="83" spans="1:18">
      <c r="A83">
        <f t="shared" si="10"/>
        <v>1258.4590000000001</v>
      </c>
      <c r="B83">
        <v>115.7</v>
      </c>
      <c r="C83" s="1"/>
      <c r="D83" s="1"/>
      <c r="E83" s="1"/>
      <c r="F83" s="1"/>
      <c r="I83">
        <v>39.838000000000001</v>
      </c>
      <c r="J83">
        <v>171.71</v>
      </c>
      <c r="N83" s="1"/>
      <c r="O83" s="1">
        <v>0</v>
      </c>
      <c r="P83" t="e">
        <f t="shared" si="11"/>
        <v>#NUM!</v>
      </c>
      <c r="Q83" t="e">
        <f t="shared" si="12"/>
        <v>#NUM!</v>
      </c>
      <c r="R83" t="e">
        <f t="shared" si="13"/>
        <v>#NUM!</v>
      </c>
    </row>
    <row r="84" spans="1:18">
      <c r="A84">
        <f t="shared" ref="A84:A147" si="14">+A83+0.5</f>
        <v>1258.9590000000001</v>
      </c>
      <c r="B84">
        <v>118.9</v>
      </c>
      <c r="C84" s="1"/>
      <c r="D84" s="1"/>
      <c r="E84" s="1"/>
      <c r="F84" s="1"/>
      <c r="I84">
        <v>40.154000000000003</v>
      </c>
      <c r="J84">
        <v>172.91</v>
      </c>
      <c r="N84" s="1"/>
      <c r="O84" s="1">
        <v>0</v>
      </c>
      <c r="P84" t="e">
        <f t="shared" si="11"/>
        <v>#NUM!</v>
      </c>
      <c r="Q84" t="e">
        <f t="shared" si="12"/>
        <v>#NUM!</v>
      </c>
      <c r="R84" t="e">
        <f t="shared" si="13"/>
        <v>#NUM!</v>
      </c>
    </row>
    <row r="85" spans="1:18">
      <c r="A85">
        <f t="shared" si="14"/>
        <v>1259.4590000000001</v>
      </c>
      <c r="B85">
        <v>122.1</v>
      </c>
      <c r="C85" s="1"/>
      <c r="D85" s="1"/>
      <c r="E85" s="1"/>
      <c r="F85" s="1"/>
      <c r="I85">
        <v>40.308</v>
      </c>
      <c r="J85">
        <v>174.13</v>
      </c>
      <c r="N85" s="1"/>
      <c r="O85" s="1">
        <v>0</v>
      </c>
      <c r="P85" t="e">
        <f t="shared" si="11"/>
        <v>#NUM!</v>
      </c>
      <c r="Q85" t="e">
        <f t="shared" si="12"/>
        <v>#NUM!</v>
      </c>
      <c r="R85" t="e">
        <f t="shared" si="13"/>
        <v>#NUM!</v>
      </c>
    </row>
    <row r="86" spans="1:18">
      <c r="A86">
        <f t="shared" si="14"/>
        <v>1259.9590000000001</v>
      </c>
      <c r="B86">
        <v>125.5</v>
      </c>
      <c r="C86" s="1"/>
      <c r="D86" s="1"/>
      <c r="E86" s="1"/>
      <c r="F86" s="1"/>
      <c r="I86">
        <v>40.406999999999996</v>
      </c>
      <c r="J86">
        <v>175.37</v>
      </c>
      <c r="N86" s="1"/>
      <c r="O86" s="1">
        <v>0</v>
      </c>
      <c r="P86" t="e">
        <f t="shared" si="11"/>
        <v>#NUM!</v>
      </c>
      <c r="Q86" t="e">
        <f t="shared" si="12"/>
        <v>#NUM!</v>
      </c>
      <c r="R86" t="e">
        <f t="shared" si="13"/>
        <v>#NUM!</v>
      </c>
    </row>
    <row r="87" spans="1:18">
      <c r="A87">
        <f t="shared" si="14"/>
        <v>1260.4590000000001</v>
      </c>
      <c r="B87">
        <v>128.9</v>
      </c>
      <c r="C87" s="1"/>
      <c r="D87" s="1"/>
      <c r="E87" s="1"/>
      <c r="F87" s="1"/>
      <c r="I87">
        <v>40.713000000000001</v>
      </c>
      <c r="J87">
        <v>176.62</v>
      </c>
      <c r="N87" s="1"/>
      <c r="O87" s="1">
        <v>0</v>
      </c>
      <c r="P87" t="e">
        <f t="shared" si="11"/>
        <v>#NUM!</v>
      </c>
      <c r="Q87" t="e">
        <f t="shared" si="12"/>
        <v>#NUM!</v>
      </c>
      <c r="R87" t="e">
        <f t="shared" si="13"/>
        <v>#NUM!</v>
      </c>
    </row>
    <row r="88" spans="1:18">
      <c r="A88">
        <f t="shared" si="14"/>
        <v>1260.9590000000001</v>
      </c>
      <c r="B88">
        <v>132.4</v>
      </c>
      <c r="C88" s="1"/>
      <c r="D88" s="1"/>
      <c r="E88" s="1"/>
      <c r="F88" s="1"/>
      <c r="I88">
        <v>41.31</v>
      </c>
      <c r="J88">
        <v>177.87</v>
      </c>
      <c r="N88" s="1"/>
      <c r="O88" s="1">
        <v>0</v>
      </c>
      <c r="P88" t="e">
        <f t="shared" si="11"/>
        <v>#NUM!</v>
      </c>
      <c r="Q88" t="e">
        <f t="shared" si="12"/>
        <v>#NUM!</v>
      </c>
      <c r="R88" t="e">
        <f t="shared" si="13"/>
        <v>#NUM!</v>
      </c>
    </row>
    <row r="89" spans="1:18">
      <c r="A89">
        <f t="shared" si="14"/>
        <v>1261.4590000000001</v>
      </c>
      <c r="B89">
        <v>136.1</v>
      </c>
      <c r="C89" s="1"/>
      <c r="D89" s="1"/>
      <c r="E89" s="1"/>
      <c r="F89" s="1"/>
      <c r="I89">
        <v>41.960999999999999</v>
      </c>
      <c r="J89">
        <v>179.13</v>
      </c>
      <c r="N89" s="1"/>
      <c r="O89" s="1">
        <v>0</v>
      </c>
      <c r="P89" t="e">
        <f t="shared" si="11"/>
        <v>#NUM!</v>
      </c>
      <c r="Q89" t="e">
        <f t="shared" si="12"/>
        <v>#NUM!</v>
      </c>
      <c r="R89" t="e">
        <f t="shared" si="13"/>
        <v>#NUM!</v>
      </c>
    </row>
    <row r="90" spans="1:18">
      <c r="A90">
        <f t="shared" si="14"/>
        <v>1261.9590000000001</v>
      </c>
      <c r="B90">
        <v>139.80000000000001</v>
      </c>
      <c r="C90" s="1"/>
      <c r="D90" s="1"/>
      <c r="E90" s="1"/>
      <c r="F90" s="1"/>
      <c r="I90">
        <v>42.38</v>
      </c>
      <c r="J90">
        <v>-179.6</v>
      </c>
      <c r="N90" s="1"/>
      <c r="O90" s="1">
        <v>0</v>
      </c>
      <c r="P90" t="e">
        <f t="shared" si="11"/>
        <v>#NUM!</v>
      </c>
      <c r="Q90" t="e">
        <f t="shared" si="12"/>
        <v>#NUM!</v>
      </c>
      <c r="R90" t="e">
        <f t="shared" si="13"/>
        <v>#NUM!</v>
      </c>
    </row>
    <row r="91" spans="1:18">
      <c r="A91">
        <f t="shared" si="14"/>
        <v>1262.4590000000001</v>
      </c>
      <c r="B91">
        <v>143.6</v>
      </c>
      <c r="C91" s="1"/>
      <c r="D91" s="1"/>
      <c r="E91" s="1"/>
      <c r="F91" s="1"/>
      <c r="I91">
        <v>42.615000000000002</v>
      </c>
      <c r="J91">
        <v>-178.4</v>
      </c>
      <c r="N91" s="1"/>
      <c r="O91" s="1">
        <v>0</v>
      </c>
      <c r="P91" t="e">
        <f t="shared" si="11"/>
        <v>#NUM!</v>
      </c>
      <c r="Q91" t="e">
        <f t="shared" si="12"/>
        <v>#NUM!</v>
      </c>
      <c r="R91" t="e">
        <f t="shared" si="13"/>
        <v>#NUM!</v>
      </c>
    </row>
    <row r="92" spans="1:18">
      <c r="A92">
        <f t="shared" si="14"/>
        <v>1262.9590000000001</v>
      </c>
      <c r="B92">
        <v>147.6</v>
      </c>
      <c r="C92" s="1"/>
      <c r="D92" s="1"/>
      <c r="E92" s="1"/>
      <c r="F92" s="1"/>
      <c r="I92">
        <v>42.930999999999997</v>
      </c>
      <c r="J92">
        <v>-177.1</v>
      </c>
      <c r="N92" s="1"/>
      <c r="O92" s="1">
        <v>0</v>
      </c>
      <c r="P92" t="e">
        <f t="shared" si="11"/>
        <v>#NUM!</v>
      </c>
      <c r="Q92" t="e">
        <f t="shared" si="12"/>
        <v>#NUM!</v>
      </c>
      <c r="R92" t="e">
        <f t="shared" si="13"/>
        <v>#NUM!</v>
      </c>
    </row>
    <row r="93" spans="1:18">
      <c r="A93">
        <f t="shared" si="14"/>
        <v>1263.4590000000001</v>
      </c>
      <c r="B93">
        <v>151.6</v>
      </c>
      <c r="C93" s="1"/>
      <c r="D93" s="1"/>
      <c r="E93" s="1"/>
      <c r="F93" s="1"/>
      <c r="I93">
        <v>43.447000000000003</v>
      </c>
      <c r="J93">
        <v>-175.9</v>
      </c>
      <c r="N93" s="1"/>
      <c r="O93" s="1">
        <v>0</v>
      </c>
      <c r="P93" t="e">
        <f t="shared" si="11"/>
        <v>#NUM!</v>
      </c>
      <c r="Q93" t="e">
        <f t="shared" si="12"/>
        <v>#NUM!</v>
      </c>
      <c r="R93" t="e">
        <f t="shared" si="13"/>
        <v>#NUM!</v>
      </c>
    </row>
    <row r="94" spans="1:18">
      <c r="A94">
        <f t="shared" si="14"/>
        <v>1263.9590000000001</v>
      </c>
      <c r="B94">
        <v>155.69999999999999</v>
      </c>
      <c r="C94" s="1"/>
      <c r="D94" s="1"/>
      <c r="E94" s="1"/>
      <c r="F94" s="1"/>
      <c r="I94">
        <v>44.027999999999999</v>
      </c>
      <c r="J94">
        <v>-174.7</v>
      </c>
      <c r="N94" s="1"/>
      <c r="O94" s="1">
        <v>0</v>
      </c>
      <c r="P94" t="e">
        <f t="shared" si="11"/>
        <v>#NUM!</v>
      </c>
      <c r="Q94" t="e">
        <f t="shared" si="12"/>
        <v>#NUM!</v>
      </c>
      <c r="R94" t="e">
        <f t="shared" si="13"/>
        <v>#NUM!</v>
      </c>
    </row>
    <row r="95" spans="1:18">
      <c r="A95">
        <f t="shared" si="14"/>
        <v>1264.4590000000001</v>
      </c>
      <c r="B95">
        <v>160</v>
      </c>
      <c r="C95" s="1"/>
      <c r="D95" s="1"/>
      <c r="E95" s="1"/>
      <c r="F95" s="1"/>
      <c r="I95">
        <v>44.491</v>
      </c>
      <c r="J95">
        <v>-173.5</v>
      </c>
      <c r="N95" s="1"/>
      <c r="O95" s="1">
        <v>0</v>
      </c>
      <c r="P95" t="e">
        <f t="shared" si="11"/>
        <v>#NUM!</v>
      </c>
      <c r="Q95" t="e">
        <f t="shared" si="12"/>
        <v>#NUM!</v>
      </c>
      <c r="R95" t="e">
        <f t="shared" si="13"/>
        <v>#NUM!</v>
      </c>
    </row>
    <row r="96" spans="1:18">
      <c r="A96">
        <f t="shared" si="14"/>
        <v>1264.9590000000001</v>
      </c>
      <c r="B96">
        <v>164.4</v>
      </c>
      <c r="C96" s="1"/>
      <c r="D96" s="1"/>
      <c r="E96" s="1"/>
      <c r="F96" s="1"/>
      <c r="I96">
        <v>44.869</v>
      </c>
      <c r="J96">
        <v>-172.4</v>
      </c>
      <c r="N96" s="1"/>
      <c r="O96" s="1">
        <v>0</v>
      </c>
      <c r="P96" t="e">
        <f t="shared" si="11"/>
        <v>#NUM!</v>
      </c>
      <c r="Q96" t="e">
        <f t="shared" si="12"/>
        <v>#NUM!</v>
      </c>
      <c r="R96" t="e">
        <f t="shared" si="13"/>
        <v>#NUM!</v>
      </c>
    </row>
    <row r="97" spans="1:18">
      <c r="A97">
        <f t="shared" si="14"/>
        <v>1265.4590000000001</v>
      </c>
      <c r="B97">
        <v>168.9</v>
      </c>
      <c r="C97" s="1"/>
      <c r="D97" s="1"/>
      <c r="E97" s="1"/>
      <c r="F97" s="1"/>
      <c r="I97">
        <v>45.366999999999997</v>
      </c>
      <c r="J97">
        <v>-171.3</v>
      </c>
      <c r="N97" s="1"/>
      <c r="O97" s="1">
        <v>0</v>
      </c>
      <c r="P97" t="e">
        <f t="shared" si="11"/>
        <v>#NUM!</v>
      </c>
      <c r="Q97" t="e">
        <f t="shared" si="12"/>
        <v>#NUM!</v>
      </c>
      <c r="R97" t="e">
        <f t="shared" si="13"/>
        <v>#NUM!</v>
      </c>
    </row>
    <row r="98" spans="1:18">
      <c r="A98">
        <f t="shared" si="14"/>
        <v>1265.9590000000001</v>
      </c>
      <c r="B98">
        <v>173.5</v>
      </c>
      <c r="C98" s="1"/>
      <c r="D98" s="1"/>
      <c r="E98" s="1"/>
      <c r="F98" s="1"/>
      <c r="I98">
        <v>46.024000000000001</v>
      </c>
      <c r="J98">
        <v>-170.3</v>
      </c>
      <c r="N98" s="1"/>
      <c r="O98" s="1">
        <v>0</v>
      </c>
      <c r="P98" t="e">
        <f t="shared" si="11"/>
        <v>#NUM!</v>
      </c>
      <c r="Q98" t="e">
        <f t="shared" si="12"/>
        <v>#NUM!</v>
      </c>
      <c r="R98" t="e">
        <f t="shared" si="13"/>
        <v>#NUM!</v>
      </c>
    </row>
    <row r="99" spans="1:18">
      <c r="A99">
        <f t="shared" si="14"/>
        <v>1266.4590000000001</v>
      </c>
      <c r="B99">
        <v>178.3</v>
      </c>
      <c r="C99" s="1"/>
      <c r="D99" s="1"/>
      <c r="E99" s="1"/>
      <c r="F99" s="1"/>
      <c r="I99">
        <v>46.652000000000001</v>
      </c>
      <c r="J99">
        <v>-169.3</v>
      </c>
      <c r="N99" s="1"/>
      <c r="O99" s="1">
        <v>0</v>
      </c>
      <c r="P99" t="e">
        <f t="shared" si="11"/>
        <v>#NUM!</v>
      </c>
      <c r="Q99" t="e">
        <f t="shared" si="12"/>
        <v>#NUM!</v>
      </c>
      <c r="R99" t="e">
        <f t="shared" si="13"/>
        <v>#NUM!</v>
      </c>
    </row>
    <row r="100" spans="1:18">
      <c r="A100">
        <f t="shared" si="14"/>
        <v>1266.9590000000001</v>
      </c>
      <c r="B100">
        <v>183.2</v>
      </c>
      <c r="C100" s="1"/>
      <c r="D100" s="1"/>
      <c r="E100" s="1"/>
      <c r="F100" s="1"/>
      <c r="I100">
        <v>47.122</v>
      </c>
      <c r="J100">
        <v>-168.4</v>
      </c>
      <c r="N100" s="1"/>
      <c r="O100" s="1">
        <v>0</v>
      </c>
      <c r="P100" t="e">
        <f t="shared" si="11"/>
        <v>#NUM!</v>
      </c>
      <c r="Q100" t="e">
        <f t="shared" si="12"/>
        <v>#NUM!</v>
      </c>
      <c r="R100" t="e">
        <f t="shared" si="13"/>
        <v>#NUM!</v>
      </c>
    </row>
    <row r="101" spans="1:18">
      <c r="A101">
        <f t="shared" si="14"/>
        <v>1267.4590000000001</v>
      </c>
      <c r="B101">
        <v>188.2</v>
      </c>
      <c r="C101" s="1"/>
      <c r="D101" s="1"/>
      <c r="E101" s="1"/>
      <c r="F101" s="1"/>
      <c r="I101">
        <v>47.506</v>
      </c>
      <c r="J101">
        <v>-167.6</v>
      </c>
      <c r="N101" s="1"/>
      <c r="O101" s="1">
        <v>0</v>
      </c>
      <c r="P101" t="e">
        <f t="shared" si="11"/>
        <v>#NUM!</v>
      </c>
      <c r="Q101" t="e">
        <f t="shared" si="12"/>
        <v>#NUM!</v>
      </c>
      <c r="R101" t="e">
        <f t="shared" si="13"/>
        <v>#NUM!</v>
      </c>
    </row>
    <row r="102" spans="1:18">
      <c r="A102">
        <f t="shared" si="14"/>
        <v>1267.9590000000001</v>
      </c>
      <c r="B102">
        <v>193.3</v>
      </c>
      <c r="C102" s="1"/>
      <c r="D102" s="1"/>
      <c r="E102" s="1"/>
      <c r="F102" s="1"/>
      <c r="I102">
        <v>47.917999999999999</v>
      </c>
      <c r="J102">
        <v>-166.9</v>
      </c>
      <c r="N102" s="1"/>
      <c r="O102" s="1">
        <v>0</v>
      </c>
      <c r="P102" t="e">
        <f t="shared" si="11"/>
        <v>#NUM!</v>
      </c>
      <c r="Q102" t="e">
        <f t="shared" si="12"/>
        <v>#NUM!</v>
      </c>
      <c r="R102" t="e">
        <f t="shared" si="13"/>
        <v>#NUM!</v>
      </c>
    </row>
    <row r="103" spans="1:18">
      <c r="A103">
        <f t="shared" si="14"/>
        <v>1268.4590000000001</v>
      </c>
      <c r="B103">
        <v>198.6</v>
      </c>
      <c r="C103" s="1"/>
      <c r="D103" s="1"/>
      <c r="E103" s="1"/>
      <c r="F103" s="1"/>
      <c r="I103">
        <v>48.372</v>
      </c>
      <c r="J103">
        <v>-166.2</v>
      </c>
      <c r="N103" s="1"/>
      <c r="O103" s="1">
        <v>0</v>
      </c>
      <c r="P103" t="e">
        <f t="shared" si="11"/>
        <v>#NUM!</v>
      </c>
      <c r="Q103" t="e">
        <f t="shared" si="12"/>
        <v>#NUM!</v>
      </c>
      <c r="R103" t="e">
        <f t="shared" si="13"/>
        <v>#NUM!</v>
      </c>
    </row>
    <row r="104" spans="1:18">
      <c r="A104">
        <f t="shared" si="14"/>
        <v>1268.9590000000001</v>
      </c>
      <c r="B104">
        <v>204</v>
      </c>
      <c r="C104" s="1"/>
      <c r="D104" s="1"/>
      <c r="E104" s="1"/>
      <c r="F104" s="1"/>
      <c r="G104" s="1"/>
      <c r="H104" s="7"/>
      <c r="I104">
        <v>48.843000000000004</v>
      </c>
      <c r="J104">
        <v>-167.4</v>
      </c>
      <c r="N104" s="1"/>
      <c r="O104" s="1">
        <v>0</v>
      </c>
      <c r="P104" t="e">
        <f t="shared" si="11"/>
        <v>#NUM!</v>
      </c>
      <c r="Q104" t="e">
        <f t="shared" si="12"/>
        <v>#NUM!</v>
      </c>
      <c r="R104" t="e">
        <f t="shared" si="13"/>
        <v>#NUM!</v>
      </c>
    </row>
    <row r="105" spans="1:18">
      <c r="A105">
        <f t="shared" si="14"/>
        <v>1269.4590000000001</v>
      </c>
      <c r="B105">
        <v>209.6</v>
      </c>
      <c r="C105" s="1"/>
      <c r="D105" s="1"/>
      <c r="E105" s="1"/>
      <c r="F105" s="1"/>
      <c r="G105" s="1"/>
      <c r="H105" s="7"/>
      <c r="I105">
        <v>49.316000000000003</v>
      </c>
      <c r="J105">
        <v>-166.6</v>
      </c>
      <c r="N105" s="1"/>
      <c r="O105" s="1">
        <v>0</v>
      </c>
      <c r="P105" t="e">
        <f t="shared" si="11"/>
        <v>#NUM!</v>
      </c>
      <c r="Q105" t="e">
        <f t="shared" si="12"/>
        <v>#NUM!</v>
      </c>
      <c r="R105" t="e">
        <f t="shared" si="13"/>
        <v>#NUM!</v>
      </c>
    </row>
    <row r="106" spans="1:18">
      <c r="A106">
        <f t="shared" si="14"/>
        <v>1269.9590000000001</v>
      </c>
      <c r="B106">
        <v>215.4</v>
      </c>
      <c r="C106" s="1"/>
      <c r="D106" s="1"/>
      <c r="E106" s="1"/>
      <c r="F106" s="1"/>
      <c r="G106" s="1"/>
      <c r="H106" s="7"/>
      <c r="I106">
        <v>49.801000000000002</v>
      </c>
      <c r="J106">
        <v>-166.6</v>
      </c>
      <c r="N106" s="1"/>
      <c r="O106" s="1">
        <v>0</v>
      </c>
      <c r="P106" t="e">
        <f t="shared" si="11"/>
        <v>#NUM!</v>
      </c>
      <c r="Q106" t="e">
        <f t="shared" si="12"/>
        <v>#NUM!</v>
      </c>
      <c r="R106" t="e">
        <f t="shared" si="13"/>
        <v>#NUM!</v>
      </c>
    </row>
    <row r="107" spans="1:18">
      <c r="A107">
        <f t="shared" si="14"/>
        <v>1270.4590000000001</v>
      </c>
      <c r="B107">
        <v>221.2</v>
      </c>
      <c r="C107" s="1"/>
      <c r="D107" s="1"/>
      <c r="E107" s="1"/>
      <c r="F107" s="1"/>
      <c r="G107" s="1"/>
      <c r="H107" s="7"/>
      <c r="I107">
        <v>50.363</v>
      </c>
      <c r="J107">
        <v>-168.3</v>
      </c>
      <c r="N107" s="1"/>
      <c r="O107" s="1">
        <v>0</v>
      </c>
      <c r="P107" t="e">
        <f t="shared" si="11"/>
        <v>#NUM!</v>
      </c>
      <c r="Q107" t="e">
        <f t="shared" si="12"/>
        <v>#NUM!</v>
      </c>
      <c r="R107" t="e">
        <f t="shared" si="13"/>
        <v>#NUM!</v>
      </c>
    </row>
    <row r="108" spans="1:18">
      <c r="A108">
        <f t="shared" si="14"/>
        <v>1270.9590000000001</v>
      </c>
      <c r="B108">
        <v>227.2</v>
      </c>
      <c r="C108" s="1"/>
      <c r="D108" s="1"/>
      <c r="E108" s="1"/>
      <c r="F108" s="1"/>
      <c r="G108" s="1"/>
      <c r="H108" s="7"/>
      <c r="I108">
        <v>51.008000000000003</v>
      </c>
      <c r="J108">
        <v>-169.3</v>
      </c>
      <c r="N108" s="1"/>
      <c r="O108" s="1">
        <v>0</v>
      </c>
      <c r="P108" t="e">
        <f t="shared" si="11"/>
        <v>#NUM!</v>
      </c>
      <c r="Q108" t="e">
        <f t="shared" si="12"/>
        <v>#NUM!</v>
      </c>
      <c r="R108" t="e">
        <f t="shared" si="13"/>
        <v>#NUM!</v>
      </c>
    </row>
    <row r="109" spans="1:18">
      <c r="A109">
        <f t="shared" si="14"/>
        <v>1271.4590000000001</v>
      </c>
      <c r="B109">
        <v>233.4</v>
      </c>
      <c r="C109" s="1"/>
      <c r="D109" s="1"/>
      <c r="E109" s="1"/>
      <c r="F109" s="1"/>
      <c r="G109" s="1"/>
      <c r="H109" s="7"/>
      <c r="I109">
        <v>51.668999999999997</v>
      </c>
      <c r="J109">
        <v>-169.2</v>
      </c>
      <c r="N109" s="1"/>
      <c r="O109" s="1">
        <v>0</v>
      </c>
      <c r="P109" t="e">
        <f t="shared" si="11"/>
        <v>#NUM!</v>
      </c>
      <c r="Q109" t="e">
        <f t="shared" si="12"/>
        <v>#NUM!</v>
      </c>
      <c r="R109" t="e">
        <f t="shared" si="13"/>
        <v>#NUM!</v>
      </c>
    </row>
    <row r="110" spans="1:18">
      <c r="A110">
        <f t="shared" si="14"/>
        <v>1271.9590000000001</v>
      </c>
      <c r="B110">
        <v>239.8</v>
      </c>
      <c r="C110" s="1"/>
      <c r="D110" s="1"/>
      <c r="E110" s="1"/>
      <c r="F110" s="1"/>
      <c r="G110" s="1"/>
      <c r="H110" s="7"/>
      <c r="I110">
        <v>52.31</v>
      </c>
      <c r="J110">
        <v>-169.9</v>
      </c>
      <c r="N110" s="1"/>
      <c r="O110" s="1">
        <v>0</v>
      </c>
      <c r="P110" t="e">
        <f t="shared" si="11"/>
        <v>#NUM!</v>
      </c>
      <c r="Q110" t="e">
        <f t="shared" si="12"/>
        <v>#NUM!</v>
      </c>
      <c r="R110" t="e">
        <f t="shared" si="13"/>
        <v>#NUM!</v>
      </c>
    </row>
    <row r="111" spans="1:18">
      <c r="A111">
        <f t="shared" si="14"/>
        <v>1272.4590000000001</v>
      </c>
      <c r="B111">
        <v>246.4</v>
      </c>
      <c r="C111" s="1"/>
      <c r="D111" s="1"/>
      <c r="E111" s="1"/>
      <c r="F111" s="1"/>
      <c r="G111" s="1"/>
      <c r="H111" s="7"/>
      <c r="I111">
        <v>52.841999999999999</v>
      </c>
      <c r="J111">
        <v>-171</v>
      </c>
      <c r="N111" s="1"/>
      <c r="O111" s="1">
        <v>0</v>
      </c>
      <c r="P111" t="e">
        <f t="shared" si="11"/>
        <v>#NUM!</v>
      </c>
      <c r="Q111" t="e">
        <f t="shared" si="12"/>
        <v>#NUM!</v>
      </c>
      <c r="R111" t="e">
        <f t="shared" si="13"/>
        <v>#NUM!</v>
      </c>
    </row>
    <row r="112" spans="1:18">
      <c r="A112">
        <f t="shared" si="14"/>
        <v>1272.9590000000001</v>
      </c>
      <c r="B112">
        <v>253.2</v>
      </c>
      <c r="C112" s="1"/>
      <c r="D112" s="1"/>
      <c r="E112" s="1"/>
      <c r="F112" s="1"/>
      <c r="G112" s="1"/>
      <c r="H112" s="7"/>
      <c r="I112">
        <v>53.206000000000003</v>
      </c>
      <c r="J112">
        <v>-171.6</v>
      </c>
      <c r="N112" s="1"/>
      <c r="O112" s="1">
        <v>0</v>
      </c>
      <c r="P112" t="e">
        <f t="shared" si="11"/>
        <v>#NUM!</v>
      </c>
      <c r="Q112" t="e">
        <f t="shared" si="12"/>
        <v>#NUM!</v>
      </c>
      <c r="R112" t="e">
        <f t="shared" si="13"/>
        <v>#NUM!</v>
      </c>
    </row>
    <row r="113" spans="1:18">
      <c r="A113">
        <f t="shared" si="14"/>
        <v>1273.4590000000001</v>
      </c>
      <c r="B113">
        <v>260.2</v>
      </c>
      <c r="C113" s="1"/>
      <c r="D113" s="1"/>
      <c r="E113" s="1"/>
      <c r="F113" s="1"/>
      <c r="G113" s="1"/>
      <c r="H113" s="7"/>
      <c r="I113">
        <v>53.527999999999999</v>
      </c>
      <c r="J113">
        <v>-171.7</v>
      </c>
      <c r="N113" s="1"/>
      <c r="O113" s="1">
        <v>0</v>
      </c>
      <c r="P113" t="e">
        <f t="shared" si="11"/>
        <v>#NUM!</v>
      </c>
      <c r="Q113" t="e">
        <f t="shared" si="12"/>
        <v>#NUM!</v>
      </c>
      <c r="R113" t="e">
        <f t="shared" si="13"/>
        <v>#NUM!</v>
      </c>
    </row>
    <row r="114" spans="1:18">
      <c r="A114">
        <f t="shared" si="14"/>
        <v>1273.9590000000001</v>
      </c>
      <c r="B114">
        <v>267.39999999999998</v>
      </c>
      <c r="C114" s="1"/>
      <c r="D114" s="1"/>
      <c r="E114" s="1"/>
      <c r="F114" s="1"/>
      <c r="G114" s="1"/>
      <c r="H114" s="7"/>
      <c r="I114">
        <v>53.887999999999998</v>
      </c>
      <c r="J114">
        <v>-171.2</v>
      </c>
      <c r="N114" s="1"/>
      <c r="O114" s="1">
        <v>0</v>
      </c>
      <c r="P114" t="e">
        <f t="shared" si="11"/>
        <v>#NUM!</v>
      </c>
      <c r="Q114" t="e">
        <f t="shared" si="12"/>
        <v>#NUM!</v>
      </c>
      <c r="R114" t="e">
        <f t="shared" si="13"/>
        <v>#NUM!</v>
      </c>
    </row>
    <row r="115" spans="1:18">
      <c r="A115">
        <f t="shared" si="14"/>
        <v>1274.4590000000001</v>
      </c>
      <c r="B115">
        <v>274.60000000000002</v>
      </c>
      <c r="C115" s="1"/>
      <c r="D115" s="1"/>
      <c r="E115" s="1"/>
      <c r="F115" s="1"/>
      <c r="G115" s="1"/>
      <c r="H115" s="7"/>
      <c r="I115">
        <v>54.296999999999997</v>
      </c>
      <c r="J115">
        <v>-171.6</v>
      </c>
      <c r="N115" s="1"/>
      <c r="O115" s="1">
        <v>0</v>
      </c>
      <c r="P115" t="e">
        <f t="shared" si="11"/>
        <v>#NUM!</v>
      </c>
      <c r="Q115" t="e">
        <f t="shared" si="12"/>
        <v>#NUM!</v>
      </c>
      <c r="R115" t="e">
        <f t="shared" si="13"/>
        <v>#NUM!</v>
      </c>
    </row>
    <row r="116" spans="1:18">
      <c r="A116">
        <f t="shared" si="14"/>
        <v>1274.9590000000001</v>
      </c>
      <c r="B116">
        <v>282.2</v>
      </c>
      <c r="C116" s="1"/>
      <c r="D116" s="1"/>
      <c r="E116" s="1"/>
      <c r="F116" s="1"/>
      <c r="G116" s="1"/>
      <c r="H116" s="7"/>
      <c r="I116">
        <v>54.753</v>
      </c>
      <c r="J116">
        <v>-172.8</v>
      </c>
      <c r="N116" s="1"/>
      <c r="O116" s="1">
        <v>0</v>
      </c>
      <c r="P116" t="e">
        <f t="shared" si="11"/>
        <v>#NUM!</v>
      </c>
      <c r="Q116" t="e">
        <f t="shared" si="12"/>
        <v>#NUM!</v>
      </c>
      <c r="R116" t="e">
        <f t="shared" si="13"/>
        <v>#NUM!</v>
      </c>
    </row>
    <row r="117" spans="1:18">
      <c r="A117">
        <f t="shared" si="14"/>
        <v>1275.4590000000001</v>
      </c>
      <c r="B117">
        <v>289.8</v>
      </c>
      <c r="C117" s="1"/>
      <c r="D117" s="1"/>
      <c r="E117" s="1"/>
      <c r="F117" s="1"/>
      <c r="G117" s="1"/>
      <c r="H117" s="7"/>
      <c r="I117">
        <v>55.183</v>
      </c>
      <c r="J117">
        <v>-173.5</v>
      </c>
      <c r="N117" s="1"/>
      <c r="O117" s="1">
        <v>0</v>
      </c>
      <c r="P117" t="e">
        <f t="shared" si="11"/>
        <v>#NUM!</v>
      </c>
      <c r="Q117" t="e">
        <f t="shared" si="12"/>
        <v>#NUM!</v>
      </c>
      <c r="R117" t="e">
        <f t="shared" si="13"/>
        <v>#NUM!</v>
      </c>
    </row>
    <row r="118" spans="1:18">
      <c r="A118">
        <f t="shared" si="14"/>
        <v>1275.9590000000001</v>
      </c>
      <c r="B118">
        <v>297.8</v>
      </c>
      <c r="C118" s="1"/>
      <c r="D118" s="1"/>
      <c r="E118" s="1"/>
      <c r="F118" s="1"/>
      <c r="G118" s="1"/>
      <c r="H118" s="7"/>
      <c r="I118">
        <v>55.579000000000001</v>
      </c>
      <c r="J118">
        <v>-174.3</v>
      </c>
      <c r="N118" s="1"/>
      <c r="O118" s="1">
        <v>0</v>
      </c>
      <c r="P118" t="e">
        <f t="shared" si="11"/>
        <v>#NUM!</v>
      </c>
      <c r="Q118" t="e">
        <f t="shared" si="12"/>
        <v>#NUM!</v>
      </c>
      <c r="R118" t="e">
        <f t="shared" si="13"/>
        <v>#NUM!</v>
      </c>
    </row>
    <row r="119" spans="1:18">
      <c r="A119">
        <f t="shared" si="14"/>
        <v>1276.4590000000001</v>
      </c>
      <c r="B119">
        <v>306</v>
      </c>
      <c r="C119" s="1"/>
      <c r="D119" s="1"/>
      <c r="E119" s="1"/>
      <c r="F119" s="1"/>
      <c r="G119" s="1"/>
      <c r="H119" s="7"/>
      <c r="I119">
        <v>55.957000000000001</v>
      </c>
      <c r="J119">
        <v>-174.8</v>
      </c>
      <c r="N119" s="1"/>
      <c r="O119" s="1">
        <v>-0.06</v>
      </c>
      <c r="P119" t="e">
        <f t="shared" si="11"/>
        <v>#NUM!</v>
      </c>
      <c r="Q119" t="e">
        <f t="shared" si="12"/>
        <v>#NUM!</v>
      </c>
      <c r="R119" t="e">
        <f t="shared" si="13"/>
        <v>#NUM!</v>
      </c>
    </row>
    <row r="120" spans="1:18">
      <c r="A120">
        <f t="shared" si="14"/>
        <v>1276.9590000000001</v>
      </c>
      <c r="B120">
        <v>314.39999999999998</v>
      </c>
      <c r="C120" s="1"/>
      <c r="D120" s="1"/>
      <c r="E120" s="1"/>
      <c r="F120" s="1"/>
      <c r="G120" s="1"/>
      <c r="H120" s="7"/>
      <c r="I120">
        <v>56.304000000000002</v>
      </c>
      <c r="J120">
        <v>-174.4</v>
      </c>
      <c r="N120" s="1"/>
      <c r="O120" s="1">
        <v>-0.1</v>
      </c>
      <c r="P120" t="e">
        <f t="shared" si="11"/>
        <v>#NUM!</v>
      </c>
      <c r="Q120" t="e">
        <f t="shared" si="12"/>
        <v>#NUM!</v>
      </c>
      <c r="R120" t="e">
        <f t="shared" si="13"/>
        <v>#NUM!</v>
      </c>
    </row>
    <row r="121" spans="1:18">
      <c r="A121">
        <f t="shared" si="14"/>
        <v>1277.4590000000001</v>
      </c>
      <c r="B121">
        <v>323</v>
      </c>
      <c r="C121" s="1"/>
      <c r="D121" s="1"/>
      <c r="E121" s="1"/>
      <c r="F121" s="1"/>
      <c r="G121" s="1"/>
      <c r="H121" s="7"/>
      <c r="I121">
        <v>56.661000000000001</v>
      </c>
      <c r="J121">
        <v>-173.5</v>
      </c>
      <c r="N121" s="1"/>
      <c r="O121" s="1">
        <v>-0.1</v>
      </c>
      <c r="P121" t="e">
        <f t="shared" si="11"/>
        <v>#NUM!</v>
      </c>
      <c r="Q121" t="e">
        <f t="shared" si="12"/>
        <v>#NUM!</v>
      </c>
      <c r="R121" t="e">
        <f t="shared" si="13"/>
        <v>#NUM!</v>
      </c>
    </row>
    <row r="122" spans="1:18">
      <c r="A122">
        <f t="shared" si="14"/>
        <v>1277.9590000000001</v>
      </c>
      <c r="B122">
        <v>331.8</v>
      </c>
      <c r="C122" s="1"/>
      <c r="D122" s="1"/>
      <c r="E122" s="1"/>
      <c r="F122" s="1"/>
      <c r="G122" s="1"/>
      <c r="H122" s="7"/>
      <c r="I122">
        <v>57.091999999999999</v>
      </c>
      <c r="J122">
        <v>-173</v>
      </c>
      <c r="N122" s="1"/>
      <c r="O122" s="1">
        <v>-0.1</v>
      </c>
      <c r="P122" t="e">
        <f t="shared" si="11"/>
        <v>#NUM!</v>
      </c>
      <c r="Q122" t="e">
        <f t="shared" si="12"/>
        <v>#NUM!</v>
      </c>
      <c r="R122" t="e">
        <f t="shared" si="13"/>
        <v>#NUM!</v>
      </c>
    </row>
    <row r="123" spans="1:18">
      <c r="A123">
        <f t="shared" si="14"/>
        <v>1278.4590000000001</v>
      </c>
      <c r="B123">
        <v>340.8</v>
      </c>
      <c r="C123" s="1"/>
      <c r="D123" s="1"/>
      <c r="E123" s="1"/>
      <c r="F123" s="1"/>
      <c r="G123" s="1"/>
      <c r="H123" s="7"/>
      <c r="I123">
        <v>57.667000000000002</v>
      </c>
      <c r="J123">
        <v>-173.5</v>
      </c>
      <c r="N123" s="1"/>
      <c r="O123" s="1">
        <v>-0.1</v>
      </c>
      <c r="P123" t="e">
        <f t="shared" si="11"/>
        <v>#NUM!</v>
      </c>
      <c r="Q123" t="e">
        <f t="shared" si="12"/>
        <v>#NUM!</v>
      </c>
      <c r="R123" t="e">
        <f t="shared" si="13"/>
        <v>#NUM!</v>
      </c>
    </row>
    <row r="124" spans="1:18">
      <c r="A124">
        <f t="shared" si="14"/>
        <v>1278.9590000000001</v>
      </c>
      <c r="B124">
        <v>350.2</v>
      </c>
      <c r="C124" s="1"/>
      <c r="D124" s="1"/>
      <c r="E124" s="1"/>
      <c r="F124" s="1"/>
      <c r="G124" s="1"/>
      <c r="H124" s="7"/>
      <c r="I124">
        <v>58.405000000000001</v>
      </c>
      <c r="J124">
        <v>-174</v>
      </c>
      <c r="N124" s="1"/>
      <c r="O124" s="1">
        <v>-0.1</v>
      </c>
      <c r="P124" t="e">
        <f t="shared" si="11"/>
        <v>#NUM!</v>
      </c>
      <c r="Q124" t="e">
        <f t="shared" si="12"/>
        <v>#NUM!</v>
      </c>
      <c r="R124" t="e">
        <f t="shared" si="13"/>
        <v>#NUM!</v>
      </c>
    </row>
    <row r="125" spans="1:18">
      <c r="A125">
        <f t="shared" si="14"/>
        <v>1279.4590000000001</v>
      </c>
      <c r="B125">
        <v>359.8</v>
      </c>
      <c r="C125" s="1"/>
      <c r="D125" s="1"/>
      <c r="E125" s="1"/>
      <c r="F125" s="1"/>
      <c r="G125" s="1"/>
      <c r="H125" s="7"/>
      <c r="I125">
        <v>59.216000000000001</v>
      </c>
      <c r="J125">
        <v>-174.4</v>
      </c>
      <c r="N125" s="1"/>
      <c r="O125" s="1">
        <v>-0.1</v>
      </c>
      <c r="P125" t="e">
        <f t="shared" si="11"/>
        <v>#NUM!</v>
      </c>
      <c r="Q125" t="e">
        <f t="shared" si="12"/>
        <v>#NUM!</v>
      </c>
      <c r="R125" t="e">
        <f t="shared" si="13"/>
        <v>#NUM!</v>
      </c>
    </row>
    <row r="126" spans="1:18">
      <c r="A126">
        <f t="shared" si="14"/>
        <v>1279.9590000000001</v>
      </c>
      <c r="B126">
        <v>369.8</v>
      </c>
      <c r="C126" s="1"/>
      <c r="D126" s="1"/>
      <c r="E126" s="1"/>
      <c r="F126" s="1"/>
      <c r="G126" s="1"/>
      <c r="H126" s="7"/>
      <c r="I126">
        <v>59.984000000000002</v>
      </c>
      <c r="J126">
        <v>-174.9</v>
      </c>
      <c r="N126" s="1"/>
      <c r="O126" s="1">
        <v>-0.1</v>
      </c>
      <c r="P126" t="e">
        <f t="shared" si="11"/>
        <v>#NUM!</v>
      </c>
      <c r="Q126" t="e">
        <f t="shared" si="12"/>
        <v>#NUM!</v>
      </c>
      <c r="R126" t="e">
        <f t="shared" si="13"/>
        <v>#NUM!</v>
      </c>
    </row>
    <row r="127" spans="1:18">
      <c r="A127">
        <f t="shared" si="14"/>
        <v>1280.4590000000001</v>
      </c>
      <c r="B127">
        <v>379.8</v>
      </c>
      <c r="C127" s="1"/>
      <c r="D127" s="1"/>
      <c r="E127" s="1"/>
      <c r="F127" s="1"/>
      <c r="G127" s="1"/>
      <c r="H127" s="7"/>
      <c r="I127">
        <v>60.637</v>
      </c>
      <c r="J127">
        <v>-175.5</v>
      </c>
      <c r="N127" s="1"/>
      <c r="O127" s="1">
        <v>-0.1</v>
      </c>
      <c r="P127" t="e">
        <f t="shared" si="11"/>
        <v>#NUM!</v>
      </c>
      <c r="Q127" t="e">
        <f t="shared" si="12"/>
        <v>#NUM!</v>
      </c>
      <c r="R127" t="e">
        <f t="shared" si="13"/>
        <v>#NUM!</v>
      </c>
    </row>
    <row r="128" spans="1:18">
      <c r="A128">
        <f t="shared" si="14"/>
        <v>1280.9590000000001</v>
      </c>
      <c r="B128">
        <v>390.2</v>
      </c>
      <c r="C128" s="1"/>
      <c r="D128" s="1"/>
      <c r="E128" s="1"/>
      <c r="F128" s="1"/>
      <c r="G128" s="1"/>
      <c r="H128" s="7"/>
      <c r="I128">
        <v>61.164000000000001</v>
      </c>
      <c r="J128">
        <v>-176.6</v>
      </c>
      <c r="N128" s="1"/>
      <c r="O128" s="1">
        <v>-0.1</v>
      </c>
      <c r="P128" t="e">
        <f t="shared" si="11"/>
        <v>#NUM!</v>
      </c>
      <c r="Q128" t="e">
        <f t="shared" si="12"/>
        <v>#NUM!</v>
      </c>
      <c r="R128" t="e">
        <f t="shared" si="13"/>
        <v>#NUM!</v>
      </c>
    </row>
    <row r="129" spans="1:18">
      <c r="A129">
        <f t="shared" si="14"/>
        <v>1281.4590000000001</v>
      </c>
      <c r="B129">
        <v>400.8</v>
      </c>
      <c r="C129" s="1"/>
      <c r="D129" s="1"/>
      <c r="E129" s="1"/>
      <c r="F129" s="1"/>
      <c r="G129" s="1"/>
      <c r="H129" s="7"/>
      <c r="I129">
        <v>61.64</v>
      </c>
      <c r="J129">
        <v>-177.5</v>
      </c>
      <c r="N129" s="1"/>
      <c r="O129" s="1">
        <v>-0.1</v>
      </c>
      <c r="P129" t="e">
        <f t="shared" si="11"/>
        <v>#NUM!</v>
      </c>
      <c r="Q129" t="e">
        <f t="shared" si="12"/>
        <v>#NUM!</v>
      </c>
      <c r="R129" t="e">
        <f t="shared" si="13"/>
        <v>#NUM!</v>
      </c>
    </row>
    <row r="130" spans="1:18">
      <c r="A130">
        <f t="shared" si="14"/>
        <v>1281.9590000000001</v>
      </c>
      <c r="B130">
        <v>411.8</v>
      </c>
      <c r="C130" s="1"/>
      <c r="D130" s="1"/>
      <c r="E130" s="1"/>
      <c r="F130" s="1"/>
      <c r="G130" s="1"/>
      <c r="H130" s="7"/>
      <c r="I130">
        <v>62.155999999999999</v>
      </c>
      <c r="J130">
        <v>-178.1</v>
      </c>
      <c r="N130" s="1"/>
      <c r="O130" s="1">
        <v>-0.1</v>
      </c>
      <c r="P130" t="e">
        <f t="shared" si="11"/>
        <v>#NUM!</v>
      </c>
      <c r="Q130" t="e">
        <f t="shared" si="12"/>
        <v>#NUM!</v>
      </c>
      <c r="R130" t="e">
        <f t="shared" si="13"/>
        <v>#NUM!</v>
      </c>
    </row>
    <row r="131" spans="1:18">
      <c r="A131">
        <f t="shared" si="14"/>
        <v>1282.4590000000001</v>
      </c>
      <c r="B131">
        <v>423</v>
      </c>
      <c r="C131" s="1"/>
      <c r="D131" s="1"/>
      <c r="E131" s="1"/>
      <c r="F131" s="1"/>
      <c r="G131" s="1"/>
      <c r="H131" s="7"/>
      <c r="I131">
        <v>62.747999999999998</v>
      </c>
      <c r="J131">
        <v>-179.4</v>
      </c>
      <c r="N131" s="1"/>
      <c r="O131" s="1">
        <v>-0.115</v>
      </c>
      <c r="P131" t="e">
        <f t="shared" si="11"/>
        <v>#NUM!</v>
      </c>
      <c r="Q131" t="e">
        <f t="shared" si="12"/>
        <v>#NUM!</v>
      </c>
      <c r="R131" t="e">
        <f t="shared" si="13"/>
        <v>#NUM!</v>
      </c>
    </row>
    <row r="132" spans="1:18">
      <c r="A132">
        <f t="shared" si="14"/>
        <v>1282.9590000000001</v>
      </c>
      <c r="B132">
        <v>434.8</v>
      </c>
      <c r="C132" s="1"/>
      <c r="D132" s="1"/>
      <c r="E132" s="1"/>
      <c r="F132" s="1"/>
      <c r="G132" s="1"/>
      <c r="H132" s="7"/>
      <c r="I132">
        <v>63.389000000000003</v>
      </c>
      <c r="J132">
        <v>178.23</v>
      </c>
      <c r="N132" s="1"/>
      <c r="O132" s="1">
        <v>-0.17400000000000004</v>
      </c>
      <c r="P132" t="e">
        <f t="shared" si="11"/>
        <v>#NUM!</v>
      </c>
      <c r="Q132" t="e">
        <f t="shared" si="12"/>
        <v>#NUM!</v>
      </c>
      <c r="R132" t="e">
        <f t="shared" si="13"/>
        <v>#NUM!</v>
      </c>
    </row>
    <row r="133" spans="1:18">
      <c r="A133">
        <f t="shared" si="14"/>
        <v>1283.4590000000001</v>
      </c>
      <c r="B133">
        <v>446.6</v>
      </c>
      <c r="C133" s="1"/>
      <c r="D133" s="1"/>
      <c r="E133" s="1"/>
      <c r="F133" s="1"/>
      <c r="G133" s="1"/>
      <c r="H133" s="7"/>
      <c r="I133">
        <v>63.985999999999997</v>
      </c>
      <c r="J133">
        <v>175.2</v>
      </c>
      <c r="N133" s="1"/>
      <c r="O133" s="1">
        <v>-0.2</v>
      </c>
      <c r="P133" t="e">
        <f t="shared" si="11"/>
        <v>#NUM!</v>
      </c>
      <c r="Q133" t="e">
        <f t="shared" si="12"/>
        <v>#NUM!</v>
      </c>
      <c r="R133" t="e">
        <f t="shared" si="13"/>
        <v>#NUM!</v>
      </c>
    </row>
    <row r="134" spans="1:18">
      <c r="A134">
        <f t="shared" si="14"/>
        <v>1283.9590000000001</v>
      </c>
      <c r="B134">
        <v>458.8</v>
      </c>
      <c r="C134" s="1"/>
      <c r="D134" s="1"/>
      <c r="E134" s="1"/>
      <c r="F134" s="1"/>
      <c r="G134" s="1"/>
      <c r="H134" s="7"/>
      <c r="I134">
        <v>64.474000000000004</v>
      </c>
      <c r="J134">
        <v>172.48</v>
      </c>
      <c r="N134" s="1"/>
      <c r="O134" s="1">
        <v>-0.2</v>
      </c>
      <c r="P134" t="e">
        <f t="shared" si="11"/>
        <v>#NUM!</v>
      </c>
      <c r="Q134" t="e">
        <f t="shared" si="12"/>
        <v>#NUM!</v>
      </c>
      <c r="R134" t="e">
        <f t="shared" si="13"/>
        <v>#NUM!</v>
      </c>
    </row>
    <row r="135" spans="1:18">
      <c r="A135">
        <f t="shared" si="14"/>
        <v>1284.4590000000001</v>
      </c>
      <c r="B135">
        <v>471.4</v>
      </c>
      <c r="C135" s="1"/>
      <c r="D135" s="1"/>
      <c r="E135" s="1"/>
      <c r="F135" s="1"/>
      <c r="G135" s="1"/>
      <c r="H135" s="7"/>
      <c r="I135">
        <v>64.847999999999999</v>
      </c>
      <c r="J135">
        <v>170.46</v>
      </c>
      <c r="N135" s="1"/>
      <c r="O135" s="1">
        <v>-0.2</v>
      </c>
      <c r="P135" t="e">
        <f t="shared" si="11"/>
        <v>#NUM!</v>
      </c>
      <c r="Q135" t="e">
        <f t="shared" si="12"/>
        <v>#NUM!</v>
      </c>
      <c r="R135" t="e">
        <f t="shared" si="13"/>
        <v>#NUM!</v>
      </c>
    </row>
    <row r="136" spans="1:18">
      <c r="A136">
        <f t="shared" si="14"/>
        <v>1284.9590000000001</v>
      </c>
      <c r="B136">
        <v>484.2</v>
      </c>
      <c r="C136" s="1"/>
      <c r="D136" s="1"/>
      <c r="E136" s="1"/>
      <c r="F136" s="1"/>
      <c r="G136" s="1"/>
      <c r="H136" s="7"/>
      <c r="I136">
        <v>65.156999999999996</v>
      </c>
      <c r="J136">
        <v>169.08</v>
      </c>
      <c r="N136" s="1"/>
      <c r="O136" s="1">
        <v>-0.2</v>
      </c>
      <c r="P136" t="e">
        <f t="shared" si="11"/>
        <v>#NUM!</v>
      </c>
      <c r="Q136" t="e">
        <f t="shared" si="12"/>
        <v>#NUM!</v>
      </c>
      <c r="R136" t="e">
        <f t="shared" si="13"/>
        <v>#NUM!</v>
      </c>
    </row>
    <row r="137" spans="1:18">
      <c r="A137">
        <f t="shared" si="14"/>
        <v>1285.4590000000001</v>
      </c>
      <c r="B137">
        <v>497.6</v>
      </c>
      <c r="C137" s="1"/>
      <c r="D137" s="1"/>
      <c r="E137" s="1"/>
      <c r="F137" s="1"/>
      <c r="G137" s="1"/>
      <c r="H137" s="7"/>
      <c r="I137">
        <v>65.489999999999995</v>
      </c>
      <c r="J137">
        <v>168.25</v>
      </c>
      <c r="N137" s="1"/>
      <c r="O137" s="1">
        <v>-0.2</v>
      </c>
      <c r="P137" t="e">
        <f t="shared" si="11"/>
        <v>#NUM!</v>
      </c>
      <c r="Q137" t="e">
        <f t="shared" si="12"/>
        <v>#NUM!</v>
      </c>
      <c r="R137" t="e">
        <f t="shared" si="13"/>
        <v>#NUM!</v>
      </c>
    </row>
    <row r="138" spans="1:18">
      <c r="A138">
        <f t="shared" si="14"/>
        <v>1285.9590000000001</v>
      </c>
      <c r="B138">
        <v>511.2</v>
      </c>
      <c r="C138" s="1"/>
      <c r="D138" s="1"/>
      <c r="E138" s="1"/>
      <c r="F138" s="1"/>
      <c r="G138" s="1"/>
      <c r="H138" s="7"/>
      <c r="I138">
        <v>65.885999999999996</v>
      </c>
      <c r="J138">
        <v>167.65</v>
      </c>
      <c r="N138" s="1"/>
      <c r="O138" s="1">
        <v>-0.2</v>
      </c>
      <c r="P138" t="e">
        <f t="shared" si="11"/>
        <v>#NUM!</v>
      </c>
      <c r="Q138" t="e">
        <f t="shared" si="12"/>
        <v>#NUM!</v>
      </c>
      <c r="R138" t="e">
        <f t="shared" si="13"/>
        <v>#NUM!</v>
      </c>
    </row>
    <row r="139" spans="1:18">
      <c r="A139">
        <f t="shared" si="14"/>
        <v>1286.4590000000001</v>
      </c>
      <c r="B139">
        <v>525.20000000000005</v>
      </c>
      <c r="C139" s="1"/>
      <c r="D139" s="1"/>
      <c r="E139" s="1"/>
      <c r="F139" s="1"/>
      <c r="G139" s="1"/>
      <c r="H139" s="7"/>
      <c r="I139">
        <v>66.344999999999999</v>
      </c>
      <c r="J139">
        <v>166.28</v>
      </c>
      <c r="N139" s="1"/>
      <c r="O139" s="1">
        <v>-0.2</v>
      </c>
      <c r="P139" t="e">
        <f t="shared" si="11"/>
        <v>#NUM!</v>
      </c>
      <c r="Q139" t="e">
        <f t="shared" si="12"/>
        <v>#NUM!</v>
      </c>
      <c r="R139" t="e">
        <f t="shared" si="13"/>
        <v>#NUM!</v>
      </c>
    </row>
    <row r="140" spans="1:18">
      <c r="A140">
        <f t="shared" si="14"/>
        <v>1286.9590000000001</v>
      </c>
      <c r="B140">
        <v>539.6</v>
      </c>
      <c r="C140" s="1"/>
      <c r="D140" s="1"/>
      <c r="E140" s="1"/>
      <c r="F140" s="1"/>
      <c r="G140" s="1"/>
      <c r="H140" s="7"/>
      <c r="I140">
        <v>66.834000000000003</v>
      </c>
      <c r="J140">
        <v>164.16</v>
      </c>
      <c r="N140" s="1"/>
      <c r="O140" s="1">
        <v>-0.2</v>
      </c>
      <c r="P140" t="e">
        <f t="shared" si="11"/>
        <v>#NUM!</v>
      </c>
      <c r="Q140" t="e">
        <f t="shared" si="12"/>
        <v>#NUM!</v>
      </c>
      <c r="R140" t="e">
        <f t="shared" si="13"/>
        <v>#NUM!</v>
      </c>
    </row>
    <row r="141" spans="1:18">
      <c r="A141">
        <f t="shared" si="14"/>
        <v>1287.4590000000001</v>
      </c>
      <c r="B141">
        <v>554.4</v>
      </c>
      <c r="C141" s="1"/>
      <c r="D141" s="1"/>
      <c r="E141" s="1"/>
      <c r="F141" s="1"/>
      <c r="G141" s="1"/>
      <c r="H141" s="7"/>
      <c r="I141">
        <v>67.311999999999998</v>
      </c>
      <c r="J141">
        <v>162.99</v>
      </c>
      <c r="N141" s="1"/>
      <c r="O141" s="1">
        <v>-0.2</v>
      </c>
      <c r="P141" t="e">
        <f t="shared" si="11"/>
        <v>#NUM!</v>
      </c>
      <c r="Q141" t="e">
        <f t="shared" si="12"/>
        <v>#NUM!</v>
      </c>
      <c r="R141" t="e">
        <f t="shared" si="13"/>
        <v>#NUM!</v>
      </c>
    </row>
    <row r="142" spans="1:18">
      <c r="A142">
        <f t="shared" si="14"/>
        <v>1287.9590000000001</v>
      </c>
      <c r="B142">
        <v>569.6</v>
      </c>
      <c r="C142" s="1"/>
      <c r="D142" s="1"/>
      <c r="E142" s="1"/>
      <c r="F142" s="1"/>
      <c r="G142" s="1"/>
      <c r="H142" s="7"/>
      <c r="I142">
        <v>67.805999999999997</v>
      </c>
      <c r="J142">
        <v>162.37</v>
      </c>
      <c r="N142" s="1"/>
      <c r="O142" s="1">
        <v>-0.2</v>
      </c>
      <c r="P142" t="e">
        <f t="shared" si="11"/>
        <v>#NUM!</v>
      </c>
      <c r="Q142" t="e">
        <f t="shared" si="12"/>
        <v>#NUM!</v>
      </c>
      <c r="R142" t="e">
        <f t="shared" si="13"/>
        <v>#NUM!</v>
      </c>
    </row>
    <row r="143" spans="1:18">
      <c r="A143">
        <f t="shared" si="14"/>
        <v>1288.4590000000001</v>
      </c>
      <c r="B143">
        <v>585</v>
      </c>
      <c r="C143" s="1"/>
      <c r="D143" s="1"/>
      <c r="E143" s="1"/>
      <c r="F143" s="1"/>
      <c r="G143" s="1"/>
      <c r="H143" s="7"/>
      <c r="I143">
        <v>68.376999999999995</v>
      </c>
      <c r="J143">
        <v>160.91999999999999</v>
      </c>
      <c r="N143" s="1"/>
      <c r="O143" s="1">
        <v>-0.2</v>
      </c>
      <c r="P143" t="e">
        <f t="shared" si="11"/>
        <v>#NUM!</v>
      </c>
      <c r="Q143" t="e">
        <f t="shared" si="12"/>
        <v>#NUM!</v>
      </c>
      <c r="R143" t="e">
        <f t="shared" si="13"/>
        <v>#NUM!</v>
      </c>
    </row>
    <row r="144" spans="1:18">
      <c r="A144">
        <f t="shared" si="14"/>
        <v>1288.9590000000001</v>
      </c>
      <c r="B144">
        <v>601</v>
      </c>
      <c r="C144" s="1"/>
      <c r="D144" s="1"/>
      <c r="E144" s="1"/>
      <c r="F144" s="1"/>
      <c r="G144" s="1"/>
      <c r="H144" s="7"/>
      <c r="I144">
        <v>69.055000000000007</v>
      </c>
      <c r="J144">
        <v>158.99</v>
      </c>
      <c r="N144" s="1"/>
      <c r="O144" s="1">
        <v>-0.19750000000000001</v>
      </c>
      <c r="P144" t="e">
        <f t="shared" si="11"/>
        <v>#NUM!</v>
      </c>
      <c r="Q144" t="e">
        <f t="shared" si="12"/>
        <v>#NUM!</v>
      </c>
      <c r="R144" t="e">
        <f t="shared" si="13"/>
        <v>#NUM!</v>
      </c>
    </row>
    <row r="145" spans="1:24">
      <c r="A145">
        <f t="shared" si="14"/>
        <v>1289.4590000000001</v>
      </c>
      <c r="B145">
        <v>617.6</v>
      </c>
      <c r="C145" s="1"/>
      <c r="D145" s="1"/>
      <c r="E145" s="1"/>
      <c r="F145" s="1"/>
      <c r="G145" s="1"/>
      <c r="H145" s="7"/>
      <c r="I145">
        <v>69.787000000000006</v>
      </c>
      <c r="J145">
        <v>158.18</v>
      </c>
      <c r="N145" s="1"/>
      <c r="O145" s="1">
        <v>-0.15599999999999994</v>
      </c>
      <c r="P145" t="e">
        <f t="shared" si="11"/>
        <v>#NUM!</v>
      </c>
      <c r="Q145" t="e">
        <f t="shared" si="12"/>
        <v>#NUM!</v>
      </c>
      <c r="R145" t="e">
        <f t="shared" si="13"/>
        <v>#NUM!</v>
      </c>
    </row>
    <row r="146" spans="1:24">
      <c r="A146">
        <f t="shared" si="14"/>
        <v>1289.9590000000001</v>
      </c>
      <c r="B146">
        <v>634.6</v>
      </c>
      <c r="C146" s="1"/>
      <c r="D146" s="1"/>
      <c r="E146" s="1"/>
      <c r="F146" s="1"/>
      <c r="G146" s="1"/>
      <c r="H146" s="7"/>
      <c r="I146">
        <v>70.456999999999994</v>
      </c>
      <c r="J146">
        <v>158.41999999999999</v>
      </c>
      <c r="N146" s="1"/>
      <c r="O146" s="1">
        <v>-0.11349999999999995</v>
      </c>
      <c r="P146" t="e">
        <f t="shared" ref="P146:P149" si="15">20*LOG(P$12*$C146/0.00002)-$N146-$O146</f>
        <v>#NUM!</v>
      </c>
      <c r="Q146" t="e">
        <f t="shared" ref="Q146:Q149" si="16">20*LOG(Q$12*$E146/0.00002)-$N146-$O146</f>
        <v>#NUM!</v>
      </c>
      <c r="R146" t="e">
        <f t="shared" ref="R146:R149" si="17">20*LOG(R$12*$G146/0.00002)-$N146-$O146</f>
        <v>#NUM!</v>
      </c>
    </row>
    <row r="147" spans="1:24">
      <c r="A147">
        <f t="shared" si="14"/>
        <v>1290.4590000000001</v>
      </c>
      <c r="B147">
        <v>652</v>
      </c>
      <c r="C147" s="1"/>
      <c r="D147" s="1"/>
      <c r="E147" s="1"/>
      <c r="F147" s="1"/>
      <c r="G147" s="1"/>
      <c r="H147" s="7"/>
      <c r="I147">
        <v>71.009</v>
      </c>
      <c r="J147">
        <v>157.51</v>
      </c>
      <c r="N147" s="1"/>
      <c r="O147" s="1">
        <v>-0.1</v>
      </c>
      <c r="P147" t="e">
        <f t="shared" si="15"/>
        <v>#NUM!</v>
      </c>
      <c r="Q147" t="e">
        <f t="shared" si="16"/>
        <v>#NUM!</v>
      </c>
      <c r="R147" t="e">
        <f t="shared" si="17"/>
        <v>#NUM!</v>
      </c>
    </row>
    <row r="148" spans="1:24">
      <c r="A148">
        <f t="shared" ref="A148:A211" si="18">+A147+0.5</f>
        <v>1290.9590000000001</v>
      </c>
      <c r="B148">
        <v>669.8</v>
      </c>
      <c r="C148" s="1"/>
      <c r="D148" s="1"/>
      <c r="E148" s="1"/>
      <c r="F148" s="1"/>
      <c r="G148" s="1"/>
      <c r="H148" s="7"/>
      <c r="I148">
        <v>71.471999999999994</v>
      </c>
      <c r="J148">
        <v>155.9</v>
      </c>
      <c r="N148" s="1"/>
      <c r="O148" s="1">
        <v>-0.1</v>
      </c>
      <c r="P148" t="e">
        <f t="shared" si="15"/>
        <v>#NUM!</v>
      </c>
      <c r="Q148" t="e">
        <f t="shared" si="16"/>
        <v>#NUM!</v>
      </c>
      <c r="R148" t="e">
        <f t="shared" si="17"/>
        <v>#NUM!</v>
      </c>
    </row>
    <row r="149" spans="1:24">
      <c r="A149">
        <f t="shared" si="18"/>
        <v>1291.4590000000001</v>
      </c>
      <c r="B149">
        <v>688</v>
      </c>
      <c r="C149" s="1"/>
      <c r="D149" s="1"/>
      <c r="E149" s="1"/>
      <c r="F149" s="1"/>
      <c r="G149" s="1"/>
      <c r="H149" s="7"/>
      <c r="I149">
        <v>71.906000000000006</v>
      </c>
      <c r="J149">
        <v>153.97</v>
      </c>
      <c r="N149" s="1"/>
      <c r="O149" s="1">
        <v>-0.08</v>
      </c>
      <c r="P149" t="e">
        <f t="shared" si="15"/>
        <v>#NUM!</v>
      </c>
      <c r="Q149" t="e">
        <f t="shared" si="16"/>
        <v>#NUM!</v>
      </c>
      <c r="R149" t="e">
        <f t="shared" si="17"/>
        <v>#NUM!</v>
      </c>
    </row>
    <row r="150" spans="1:24">
      <c r="A150">
        <f t="shared" si="18"/>
        <v>1291.9590000000001</v>
      </c>
      <c r="B150">
        <v>707</v>
      </c>
      <c r="C150" s="1">
        <v>5.5</v>
      </c>
      <c r="D150" s="1">
        <v>320</v>
      </c>
      <c r="E150" s="1">
        <v>4</v>
      </c>
      <c r="F150" s="1">
        <v>334</v>
      </c>
      <c r="G150" s="1"/>
      <c r="H150" s="7"/>
      <c r="I150">
        <v>72.355999999999995</v>
      </c>
      <c r="J150">
        <v>150.80000000000001</v>
      </c>
      <c r="L150" s="1">
        <f>36/42*180+180*1</f>
        <v>334.28571428571428</v>
      </c>
      <c r="N150" s="1"/>
      <c r="O150" s="1">
        <v>-3.2500000000000001E-2</v>
      </c>
      <c r="P150">
        <f>20*LOG(P$12*$C150/0.00002)-$N150-$O150+P$4</f>
        <v>72.377852560792718</v>
      </c>
      <c r="Q150">
        <f>20*LOG(Q$12*$E150/0.00002)-$N150-$O150+Q$4</f>
        <v>71.611798597467086</v>
      </c>
      <c r="R150" t="e">
        <f>20*LOG(R$12*$G150/0.00002)-$N150-$O150+R$4</f>
        <v>#NUM!</v>
      </c>
      <c r="V150">
        <f t="shared" ref="V150" si="19">(D150/360+V$4/V$5*$B150+0.5*V$6-INT(D150/360+V$4/V$5*$B150+0.5*V$6)+IF(D150/360+V$4/V$5*$B150+0.5*V$6-INT(D150/360+V$4/V$5*$B150+0.5*V$6)&gt;0.5,-1,0))*360</f>
        <v>162.63421171630327</v>
      </c>
      <c r="W150">
        <f t="shared" ref="W150" si="20">(F150/360+W$4/W$5*$B150+0.5*W$6-INT(F150/360+W$4/W$5*$B150+0.5*W$6)+IF(F150/360+W$4/W$5*$B150+0.5*W$6-INT(F150/360+W$4/W$5*$B150+0.5*W$6)&gt;0.5,-1,0))*360</f>
        <v>176.63421171630321</v>
      </c>
      <c r="X150">
        <f t="shared" ref="X150" si="21">(H150/360+X$4/X$5*$B150+0.5*X$6-INT(H150/360+X$4/X$5*$B150+0.5*X$6)+IF(H150/360+X$4/X$5*$B150+0.5*X$6-INT(H150/360+X$4/X$5*$B150+0.5*X$6)&gt;0.5,-1,0))*360</f>
        <v>-157.3657882836967</v>
      </c>
    </row>
    <row r="151" spans="1:24">
      <c r="A151">
        <f t="shared" si="18"/>
        <v>1292.4590000000001</v>
      </c>
      <c r="B151">
        <v>726.4</v>
      </c>
      <c r="C151" s="1">
        <v>5.8</v>
      </c>
      <c r="D151" s="1">
        <v>300</v>
      </c>
      <c r="E151" s="1">
        <v>4.2</v>
      </c>
      <c r="F151" s="1">
        <v>311</v>
      </c>
      <c r="G151" s="1"/>
      <c r="H151" s="7"/>
      <c r="I151">
        <v>72.83</v>
      </c>
      <c r="J151">
        <v>149.72999999999999</v>
      </c>
      <c r="K151" s="1">
        <f>+F151-F150+IF(+F151-F150&gt;0,-360,0)</f>
        <v>-23</v>
      </c>
      <c r="L151" s="1">
        <f>30/41*180+180*1</f>
        <v>311.70731707317077</v>
      </c>
      <c r="N151" s="1"/>
      <c r="O151" s="1">
        <v>1.2799999999999957E-2</v>
      </c>
      <c r="P151">
        <f t="shared" ref="P151:P214" si="22">20*LOG(P$12*$C151/0.00002)-$N151-$O151+P$4</f>
        <v>72.793858642166597</v>
      </c>
      <c r="Q151">
        <f t="shared" ref="Q151:Q214" si="23">20*LOG(Q$12*$E151/0.00002)-$N151-$O151+Q$4</f>
        <v>71.990284578865854</v>
      </c>
      <c r="R151" t="e">
        <f t="shared" ref="R151:R214" si="24">20*LOG(R$12*$G151/0.00002)-$N151-$O151+R$4</f>
        <v>#NUM!</v>
      </c>
      <c r="V151">
        <f t="shared" ref="V151:V214" si="25">(D151/360+V$4/V$5*$B151+0.5*V$6-INT(D151/360+V$4/V$5*$B151+0.5*V$6)+IF(D151/360+V$4/V$5*$B151+0.5*V$6-INT(D151/360+V$4/V$5*$B151+0.5*V$6)&gt;0.5,-1,0))*360</f>
        <v>163.01201045363905</v>
      </c>
      <c r="W151">
        <f t="shared" ref="W151:W214" si="26">(F151/360+W$4/W$5*$B151+0.5*W$6-INT(F151/360+W$4/W$5*$B151+0.5*W$6)+IF(F151/360+W$4/W$5*$B151+0.5*W$6-INT(F151/360+W$4/W$5*$B151+0.5*W$6)&gt;0.5,-1,0))*360</f>
        <v>174.01201045363902</v>
      </c>
      <c r="X151">
        <f t="shared" ref="X151:X214" si="27">(H151/360+X$4/X$5*$B151+0.5*X$6-INT(H151/360+X$4/X$5*$B151+0.5*X$6)+IF(H151/360+X$4/X$5*$B151+0.5*X$6-INT(H151/360+X$4/X$5*$B151+0.5*X$6)&gt;0.5,-1,0))*360</f>
        <v>-136.98798954636101</v>
      </c>
    </row>
    <row r="152" spans="1:24">
      <c r="A152">
        <f t="shared" si="18"/>
        <v>1292.9590000000001</v>
      </c>
      <c r="B152">
        <v>746.2</v>
      </c>
      <c r="C152" s="1">
        <v>6.2</v>
      </c>
      <c r="D152" s="1">
        <v>275</v>
      </c>
      <c r="E152" s="1">
        <v>4.5</v>
      </c>
      <c r="F152" s="1">
        <v>286</v>
      </c>
      <c r="G152" s="1"/>
      <c r="H152" s="7"/>
      <c r="I152">
        <v>73.33</v>
      </c>
      <c r="J152">
        <v>153.15</v>
      </c>
      <c r="K152" s="1">
        <f t="shared" ref="K152:K215" si="28">+F152-F151+IF(+F152-F151&gt;0,-360,0)</f>
        <v>-25</v>
      </c>
      <c r="L152" s="1">
        <f>23.5/40*180+180*1</f>
        <v>285.75</v>
      </c>
      <c r="N152" s="1"/>
      <c r="O152" s="1">
        <v>5.2400000000000092E-2</v>
      </c>
      <c r="P152">
        <f t="shared" si="22"/>
        <v>73.333532560872911</v>
      </c>
      <c r="Q152">
        <f t="shared" si="23"/>
        <v>72.54994904641471</v>
      </c>
      <c r="R152" t="e">
        <f t="shared" si="24"/>
        <v>#NUM!</v>
      </c>
      <c r="V152">
        <f t="shared" si="25"/>
        <v>158.80996998968251</v>
      </c>
      <c r="W152">
        <f t="shared" si="26"/>
        <v>169.80996998968249</v>
      </c>
      <c r="X152">
        <f t="shared" si="27"/>
        <v>-116.19003001031746</v>
      </c>
    </row>
    <row r="153" spans="1:24">
      <c r="A153">
        <f t="shared" si="18"/>
        <v>1293.4590000000001</v>
      </c>
      <c r="B153">
        <v>766.6</v>
      </c>
      <c r="C153" s="1">
        <v>6.8</v>
      </c>
      <c r="D153" s="1">
        <v>250</v>
      </c>
      <c r="E153" s="1">
        <v>4.8</v>
      </c>
      <c r="F153" s="1">
        <v>261</v>
      </c>
      <c r="G153" s="1"/>
      <c r="H153" s="7"/>
      <c r="I153">
        <v>73.897999999999996</v>
      </c>
      <c r="J153">
        <v>155.93</v>
      </c>
      <c r="K153" s="1">
        <f t="shared" si="28"/>
        <v>-25</v>
      </c>
      <c r="L153" s="1">
        <f>17.5/39*180+180*1</f>
        <v>260.76923076923077</v>
      </c>
      <c r="N153" s="1"/>
      <c r="O153" s="1">
        <v>9.3200000000000061E-2</v>
      </c>
      <c r="P153">
        <f t="shared" si="22"/>
        <v>74.095077025032566</v>
      </c>
      <c r="Q153">
        <f t="shared" si="23"/>
        <v>73.069723518419593</v>
      </c>
      <c r="R153" t="e">
        <f t="shared" si="24"/>
        <v>#NUM!</v>
      </c>
      <c r="V153">
        <f t="shared" si="25"/>
        <v>155.23817072378813</v>
      </c>
      <c r="W153">
        <f t="shared" si="26"/>
        <v>166.23817072378807</v>
      </c>
      <c r="X153">
        <f t="shared" si="27"/>
        <v>-94.761829276211955</v>
      </c>
    </row>
    <row r="154" spans="1:24">
      <c r="A154">
        <f t="shared" si="18"/>
        <v>1293.9590000000001</v>
      </c>
      <c r="B154">
        <v>787.6</v>
      </c>
      <c r="C154" s="1">
        <v>7.2</v>
      </c>
      <c r="D154" s="1">
        <v>225</v>
      </c>
      <c r="E154" s="1">
        <v>5.0999999999999996</v>
      </c>
      <c r="F154" s="1">
        <v>239</v>
      </c>
      <c r="G154" s="1"/>
      <c r="H154" s="7"/>
      <c r="I154">
        <v>74.552000000000007</v>
      </c>
      <c r="J154">
        <v>154.97999999999999</v>
      </c>
      <c r="K154" s="1">
        <f t="shared" si="28"/>
        <v>-22</v>
      </c>
      <c r="L154" s="1">
        <f>12.5/38*180+180*1</f>
        <v>239.21052631578948</v>
      </c>
      <c r="N154" s="1"/>
      <c r="O154" s="1">
        <v>0.1</v>
      </c>
      <c r="P154">
        <f t="shared" si="22"/>
        <v>74.584748699533222</v>
      </c>
      <c r="Q154">
        <f t="shared" si="23"/>
        <v>73.58950229286657</v>
      </c>
      <c r="R154" t="e">
        <f t="shared" si="24"/>
        <v>#NUM!</v>
      </c>
      <c r="V154">
        <f t="shared" si="25"/>
        <v>152.29661265595553</v>
      </c>
      <c r="W154">
        <f t="shared" si="26"/>
        <v>166.29661265595547</v>
      </c>
      <c r="X154">
        <f t="shared" si="27"/>
        <v>-72.703387344044472</v>
      </c>
    </row>
    <row r="155" spans="1:24">
      <c r="A155">
        <f t="shared" si="18"/>
        <v>1294.4590000000001</v>
      </c>
      <c r="B155">
        <v>809.2</v>
      </c>
      <c r="C155" s="1">
        <v>7.8</v>
      </c>
      <c r="D155" s="1">
        <v>200</v>
      </c>
      <c r="E155" s="1">
        <v>5.4</v>
      </c>
      <c r="F155" s="1">
        <v>217</v>
      </c>
      <c r="G155" s="1"/>
      <c r="H155" s="7"/>
      <c r="I155">
        <v>75.256</v>
      </c>
      <c r="J155">
        <v>152.06</v>
      </c>
      <c r="K155" s="1">
        <f t="shared" si="28"/>
        <v>-22</v>
      </c>
      <c r="L155" s="1">
        <f>8/37*180+180*1</f>
        <v>218.91891891891891</v>
      </c>
      <c r="N155" s="1"/>
      <c r="O155" s="1">
        <v>0.1</v>
      </c>
      <c r="P155">
        <f t="shared" si="22"/>
        <v>75.279990824717459</v>
      </c>
      <c r="Q155">
        <f t="shared" si="23"/>
        <v>74.085973967367224</v>
      </c>
      <c r="R155" t="e">
        <f t="shared" si="24"/>
        <v>#NUM!</v>
      </c>
      <c r="V155">
        <f t="shared" si="25"/>
        <v>149.98529578618491</v>
      </c>
      <c r="W155">
        <f t="shared" si="26"/>
        <v>166.98529578618485</v>
      </c>
      <c r="X155">
        <f t="shared" si="27"/>
        <v>-50.014704213815179</v>
      </c>
    </row>
    <row r="156" spans="1:24">
      <c r="A156">
        <f t="shared" si="18"/>
        <v>1294.9590000000001</v>
      </c>
      <c r="B156">
        <v>831.4</v>
      </c>
      <c r="C156" s="1">
        <v>8.4</v>
      </c>
      <c r="D156" s="1">
        <v>175</v>
      </c>
      <c r="E156" s="1">
        <v>5.8</v>
      </c>
      <c r="F156" s="1">
        <v>194</v>
      </c>
      <c r="G156" s="1"/>
      <c r="H156" s="1"/>
      <c r="I156">
        <v>75.981999999999999</v>
      </c>
      <c r="J156">
        <v>148.83000000000001</v>
      </c>
      <c r="K156" s="1">
        <f t="shared" si="28"/>
        <v>-23</v>
      </c>
      <c r="L156" s="1">
        <f>3/36*180+180*1</f>
        <v>195</v>
      </c>
      <c r="N156" s="1"/>
      <c r="O156" s="1">
        <v>7.7200000000000046E-2</v>
      </c>
      <c r="P156">
        <f t="shared" si="22"/>
        <v>75.946484492145487</v>
      </c>
      <c r="Q156">
        <f t="shared" si="23"/>
        <v>74.729458642166577</v>
      </c>
      <c r="R156" t="e">
        <f t="shared" si="24"/>
        <v>#NUM!</v>
      </c>
      <c r="V156">
        <f t="shared" si="25"/>
        <v>148.30422011447612</v>
      </c>
      <c r="W156">
        <f t="shared" si="26"/>
        <v>167.30422011447604</v>
      </c>
      <c r="X156">
        <f t="shared" si="27"/>
        <v>-26.695779885523905</v>
      </c>
    </row>
    <row r="157" spans="1:24">
      <c r="A157">
        <f t="shared" si="18"/>
        <v>1295.4590000000001</v>
      </c>
      <c r="B157">
        <v>854</v>
      </c>
      <c r="C157" s="1">
        <v>9</v>
      </c>
      <c r="D157" s="1">
        <v>150</v>
      </c>
      <c r="E157" s="1">
        <v>6.2</v>
      </c>
      <c r="F157" s="1">
        <v>169</v>
      </c>
      <c r="G157" s="1"/>
      <c r="H157" s="1"/>
      <c r="I157">
        <v>76.709999999999994</v>
      </c>
      <c r="J157">
        <v>145.44999999999999</v>
      </c>
      <c r="K157" s="1">
        <f t="shared" si="28"/>
        <v>-25</v>
      </c>
      <c r="L157" s="1">
        <f>33/35*180+180*0</f>
        <v>169.71428571428572</v>
      </c>
      <c r="N157" s="1"/>
      <c r="O157" s="1">
        <v>3.2000000000000001E-2</v>
      </c>
      <c r="P157">
        <f t="shared" si="22"/>
        <v>76.590948959694359</v>
      </c>
      <c r="Q157">
        <f t="shared" si="23"/>
        <v>75.353932560872934</v>
      </c>
      <c r="R157" t="e">
        <f t="shared" si="24"/>
        <v>#NUM!</v>
      </c>
      <c r="V157">
        <f t="shared" si="25"/>
        <v>147.04330524147531</v>
      </c>
      <c r="W157">
        <f t="shared" si="26"/>
        <v>166.04330524147539</v>
      </c>
      <c r="X157">
        <f t="shared" si="27"/>
        <v>-2.9566947585246517</v>
      </c>
    </row>
    <row r="158" spans="1:24">
      <c r="A158">
        <f t="shared" si="18"/>
        <v>1295.9590000000001</v>
      </c>
      <c r="B158">
        <v>877.4</v>
      </c>
      <c r="C158" s="1">
        <v>9.5</v>
      </c>
      <c r="D158" s="1">
        <v>125</v>
      </c>
      <c r="E158" s="1">
        <v>6.4</v>
      </c>
      <c r="F158" s="1">
        <v>143</v>
      </c>
      <c r="G158" s="1"/>
      <c r="H158" s="1"/>
      <c r="I158">
        <v>77.379000000000005</v>
      </c>
      <c r="J158">
        <v>140.94</v>
      </c>
      <c r="K158" s="1">
        <f t="shared" si="28"/>
        <v>-26</v>
      </c>
      <c r="L158" s="1">
        <f>27/34*180+180*0</f>
        <v>142.94117647058823</v>
      </c>
      <c r="N158" s="1"/>
      <c r="O158" s="1">
        <v>0</v>
      </c>
      <c r="P158">
        <f t="shared" si="22"/>
        <v>77.092570876684803</v>
      </c>
      <c r="Q158">
        <f t="shared" si="23"/>
        <v>75.661698250585587</v>
      </c>
      <c r="R158" t="e">
        <f t="shared" si="24"/>
        <v>#NUM!</v>
      </c>
      <c r="V158">
        <f t="shared" si="25"/>
        <v>146.62271196589043</v>
      </c>
      <c r="W158">
        <f t="shared" si="26"/>
        <v>164.62271196589037</v>
      </c>
      <c r="X158">
        <f t="shared" si="27"/>
        <v>21.622711965890407</v>
      </c>
    </row>
    <row r="159" spans="1:24">
      <c r="A159">
        <f t="shared" si="18"/>
        <v>1296.4590000000001</v>
      </c>
      <c r="B159">
        <v>901.6</v>
      </c>
      <c r="C159" s="1">
        <v>10</v>
      </c>
      <c r="D159" s="1">
        <v>105</v>
      </c>
      <c r="E159" s="1">
        <v>6.7</v>
      </c>
      <c r="F159" s="1">
        <v>115</v>
      </c>
      <c r="G159" s="1"/>
      <c r="H159" s="1"/>
      <c r="I159">
        <v>77.885999999999996</v>
      </c>
      <c r="J159">
        <v>135.36000000000001</v>
      </c>
      <c r="K159" s="1">
        <f t="shared" si="28"/>
        <v>-28</v>
      </c>
      <c r="L159" s="1">
        <f>21/33*180+180*0</f>
        <v>114.54545454545455</v>
      </c>
      <c r="N159" s="1"/>
      <c r="O159" s="1">
        <v>0</v>
      </c>
      <c r="P159">
        <f t="shared" si="22"/>
        <v>77.538098770907851</v>
      </c>
      <c r="Q159">
        <f t="shared" si="23"/>
        <v>76.059594824924375</v>
      </c>
      <c r="R159" t="e">
        <f t="shared" si="24"/>
        <v>#NUM!</v>
      </c>
      <c r="V159">
        <f t="shared" si="25"/>
        <v>152.04244028772155</v>
      </c>
      <c r="W159">
        <f t="shared" si="26"/>
        <v>162.04244028772166</v>
      </c>
      <c r="X159">
        <f t="shared" si="27"/>
        <v>47.04244028772159</v>
      </c>
    </row>
    <row r="160" spans="1:24">
      <c r="A160">
        <f t="shared" si="18"/>
        <v>1296.9590000000001</v>
      </c>
      <c r="B160">
        <v>926.2</v>
      </c>
      <c r="C160" s="1">
        <v>10.8</v>
      </c>
      <c r="D160" s="1">
        <v>80</v>
      </c>
      <c r="E160" s="1">
        <v>7.1</v>
      </c>
      <c r="F160" s="1">
        <v>87</v>
      </c>
      <c r="G160" s="1"/>
      <c r="H160" s="1"/>
      <c r="I160">
        <v>78.165999999999997</v>
      </c>
      <c r="J160">
        <v>131.16</v>
      </c>
      <c r="K160" s="1">
        <f t="shared" si="28"/>
        <v>-28</v>
      </c>
      <c r="L160" s="1">
        <f>15.5/32*180+180*0</f>
        <v>87.1875</v>
      </c>
      <c r="N160" s="1"/>
      <c r="O160" s="1">
        <v>0</v>
      </c>
      <c r="P160">
        <f t="shared" si="22"/>
        <v>78.206573880646843</v>
      </c>
      <c r="Q160">
        <f t="shared" si="23"/>
        <v>76.563265745289343</v>
      </c>
      <c r="R160" t="e">
        <f t="shared" si="24"/>
        <v>#NUM!</v>
      </c>
      <c r="V160">
        <f t="shared" si="25"/>
        <v>152.88232940826063</v>
      </c>
      <c r="W160">
        <f t="shared" si="26"/>
        <v>159.8823294082606</v>
      </c>
      <c r="X160">
        <f t="shared" si="27"/>
        <v>72.882329408260603</v>
      </c>
    </row>
    <row r="161" spans="1:24">
      <c r="A161">
        <f t="shared" si="18"/>
        <v>1297.4590000000001</v>
      </c>
      <c r="B161">
        <v>951.4</v>
      </c>
      <c r="C161" s="1">
        <v>11.4</v>
      </c>
      <c r="D161" s="1">
        <v>50</v>
      </c>
      <c r="E161" s="1">
        <v>7.6</v>
      </c>
      <c r="F161" s="1">
        <v>59</v>
      </c>
      <c r="G161" s="1"/>
      <c r="H161" s="1"/>
      <c r="I161">
        <v>78.272000000000006</v>
      </c>
      <c r="J161">
        <v>129.75</v>
      </c>
      <c r="K161" s="1">
        <f t="shared" si="28"/>
        <v>-28</v>
      </c>
      <c r="L161" s="1">
        <f>10.5/31.25*180+180*0</f>
        <v>60.480000000000004</v>
      </c>
      <c r="N161" s="1"/>
      <c r="O161" s="1">
        <v>0</v>
      </c>
      <c r="P161">
        <f t="shared" si="22"/>
        <v>78.676195797637291</v>
      </c>
      <c r="Q161">
        <f t="shared" si="23"/>
        <v>77.154370616523678</v>
      </c>
      <c r="R161" t="e">
        <f t="shared" si="24"/>
        <v>#NUM!</v>
      </c>
      <c r="V161">
        <f t="shared" si="25"/>
        <v>149.35245972686141</v>
      </c>
      <c r="W161">
        <f t="shared" si="26"/>
        <v>158.35245972686135</v>
      </c>
      <c r="X161">
        <f t="shared" si="27"/>
        <v>99.352459726861412</v>
      </c>
    </row>
    <row r="162" spans="1:24">
      <c r="A162">
        <f t="shared" si="18"/>
        <v>1297.9590000000001</v>
      </c>
      <c r="B162">
        <v>977.6</v>
      </c>
      <c r="C162" s="1">
        <v>12.2</v>
      </c>
      <c r="D162" s="1">
        <v>20</v>
      </c>
      <c r="E162" s="1">
        <v>8.1999999999999993</v>
      </c>
      <c r="F162" s="1">
        <v>30</v>
      </c>
      <c r="G162" s="1"/>
      <c r="H162" s="1"/>
      <c r="I162">
        <v>78.331999999999994</v>
      </c>
      <c r="J162">
        <v>128.97</v>
      </c>
      <c r="K162" s="1">
        <f t="shared" si="28"/>
        <v>-29</v>
      </c>
      <c r="L162" s="1">
        <f>5/30.5*180+180*0</f>
        <v>29.508196721311474</v>
      </c>
      <c r="N162" s="1"/>
      <c r="O162" s="1">
        <v>0</v>
      </c>
      <c r="P162">
        <f t="shared" si="22"/>
        <v>79.265295384402805</v>
      </c>
      <c r="Q162">
        <f t="shared" si="23"/>
        <v>77.814375818582178</v>
      </c>
      <c r="R162" t="e">
        <f t="shared" si="24"/>
        <v>#NUM!</v>
      </c>
      <c r="V162">
        <f t="shared" si="25"/>
        <v>146.87299204223211</v>
      </c>
      <c r="W162">
        <f t="shared" si="26"/>
        <v>156.87299204223226</v>
      </c>
      <c r="X162">
        <f t="shared" si="27"/>
        <v>126.8729920422322</v>
      </c>
    </row>
    <row r="163" spans="1:24">
      <c r="A163">
        <f t="shared" si="18"/>
        <v>1298.4590000000001</v>
      </c>
      <c r="B163">
        <v>1004.4</v>
      </c>
      <c r="C163" s="1">
        <v>13</v>
      </c>
      <c r="D163" s="1">
        <v>350</v>
      </c>
      <c r="E163" s="1">
        <v>9</v>
      </c>
      <c r="F163" s="1">
        <v>0</v>
      </c>
      <c r="G163" s="1"/>
      <c r="H163" s="1"/>
      <c r="I163">
        <v>78.509</v>
      </c>
      <c r="J163">
        <v>128.30000000000001</v>
      </c>
      <c r="K163" s="1">
        <f t="shared" si="28"/>
        <v>-30</v>
      </c>
      <c r="L163" s="1">
        <f>0/30*180+180*0</f>
        <v>0</v>
      </c>
      <c r="N163" s="1"/>
      <c r="O163" s="1">
        <v>0</v>
      </c>
      <c r="P163">
        <f t="shared" si="22"/>
        <v>79.816965817044576</v>
      </c>
      <c r="Q163">
        <f t="shared" si="23"/>
        <v>78.622948959694341</v>
      </c>
      <c r="R163" t="e">
        <f t="shared" si="24"/>
        <v>#NUM!</v>
      </c>
      <c r="V163">
        <f t="shared" si="25"/>
        <v>145.02376555566514</v>
      </c>
      <c r="W163">
        <f t="shared" si="26"/>
        <v>155.02376555566494</v>
      </c>
      <c r="X163">
        <f t="shared" si="27"/>
        <v>155.02376555566494</v>
      </c>
    </row>
    <row r="164" spans="1:24">
      <c r="A164">
        <f t="shared" si="18"/>
        <v>1298.9590000000001</v>
      </c>
      <c r="B164">
        <v>1031.8</v>
      </c>
      <c r="C164" s="1">
        <v>13.7</v>
      </c>
      <c r="D164" s="1">
        <v>315</v>
      </c>
      <c r="E164" s="1">
        <v>9.5</v>
      </c>
      <c r="F164" s="1">
        <v>329</v>
      </c>
      <c r="G164" s="1"/>
      <c r="H164" s="1"/>
      <c r="I164">
        <v>78.915999999999997</v>
      </c>
      <c r="J164">
        <v>127.92</v>
      </c>
      <c r="K164" s="1">
        <f t="shared" si="28"/>
        <v>-31</v>
      </c>
      <c r="L164" s="1">
        <f>24/29*180+180*1</f>
        <v>328.9655172413793</v>
      </c>
      <c r="N164" s="1"/>
      <c r="O164" s="1">
        <v>0</v>
      </c>
      <c r="P164">
        <f t="shared" si="22"/>
        <v>80.272510114035981</v>
      </c>
      <c r="Q164">
        <f t="shared" si="23"/>
        <v>79.092570876684803</v>
      </c>
      <c r="R164" t="e">
        <f t="shared" si="24"/>
        <v>#NUM!</v>
      </c>
      <c r="V164">
        <f t="shared" si="25"/>
        <v>138.80478026715934</v>
      </c>
      <c r="W164">
        <f t="shared" si="26"/>
        <v>152.80478026715963</v>
      </c>
      <c r="X164">
        <f t="shared" si="27"/>
        <v>-176.19521973284048</v>
      </c>
    </row>
    <row r="165" spans="1:24">
      <c r="A165">
        <f t="shared" si="18"/>
        <v>1299.4590000000001</v>
      </c>
      <c r="B165">
        <v>1060.2</v>
      </c>
      <c r="C165" s="1">
        <v>14.5</v>
      </c>
      <c r="D165" s="1">
        <v>280</v>
      </c>
      <c r="E165" s="1">
        <v>10</v>
      </c>
      <c r="F165" s="1">
        <v>298</v>
      </c>
      <c r="G165" s="1"/>
      <c r="H165" s="1"/>
      <c r="I165">
        <v>79.563000000000002</v>
      </c>
      <c r="J165">
        <v>127.04</v>
      </c>
      <c r="K165" s="1">
        <f t="shared" si="28"/>
        <v>-31</v>
      </c>
      <c r="L165" s="1">
        <f>18.5/28.25*180+180*1</f>
        <v>297.87610619469024</v>
      </c>
      <c r="N165" s="1"/>
      <c r="O165" s="1">
        <v>0</v>
      </c>
      <c r="P165">
        <f t="shared" si="22"/>
        <v>80.765458815607346</v>
      </c>
      <c r="Q165">
        <f t="shared" si="23"/>
        <v>79.538098770907851</v>
      </c>
      <c r="R165" t="e">
        <f t="shared" si="24"/>
        <v>#NUM!</v>
      </c>
      <c r="V165">
        <f t="shared" si="25"/>
        <v>133.63619697542384</v>
      </c>
      <c r="W165">
        <f t="shared" si="26"/>
        <v>151.63619697542407</v>
      </c>
      <c r="X165">
        <f t="shared" si="27"/>
        <v>-146.36380302457599</v>
      </c>
    </row>
    <row r="166" spans="1:24">
      <c r="A166">
        <f t="shared" si="18"/>
        <v>1299.9590000000001</v>
      </c>
      <c r="B166">
        <v>1089.2</v>
      </c>
      <c r="C166" s="1">
        <v>15.2</v>
      </c>
      <c r="D166" s="1">
        <v>245</v>
      </c>
      <c r="E166" s="1">
        <v>10.5</v>
      </c>
      <c r="F166" s="1">
        <v>265</v>
      </c>
      <c r="G166" s="1"/>
      <c r="H166" s="1"/>
      <c r="I166">
        <v>80.349000000000004</v>
      </c>
      <c r="J166">
        <v>125.03</v>
      </c>
      <c r="K166" s="1">
        <f t="shared" si="28"/>
        <v>-33</v>
      </c>
      <c r="L166" s="1">
        <f>13/27.5*180+180*1</f>
        <v>265.09090909090912</v>
      </c>
      <c r="N166" s="1"/>
      <c r="O166" s="1">
        <v>0</v>
      </c>
      <c r="P166">
        <f t="shared" si="22"/>
        <v>81.174970529803289</v>
      </c>
      <c r="Q166">
        <f t="shared" si="23"/>
        <v>79.961884752306602</v>
      </c>
      <c r="R166" t="e">
        <f t="shared" si="24"/>
        <v>#NUM!</v>
      </c>
      <c r="V166">
        <f t="shared" si="25"/>
        <v>129.09785488175061</v>
      </c>
      <c r="W166">
        <f t="shared" si="26"/>
        <v>149.09785488175055</v>
      </c>
      <c r="X166">
        <f t="shared" si="27"/>
        <v>-115.90214511824948</v>
      </c>
    </row>
    <row r="167" spans="1:24">
      <c r="A167">
        <f t="shared" si="18"/>
        <v>1300.4590000000001</v>
      </c>
      <c r="B167">
        <v>1118.8</v>
      </c>
      <c r="C167" s="1">
        <v>16.5</v>
      </c>
      <c r="D167" s="1">
        <v>210</v>
      </c>
      <c r="E167" s="1">
        <v>11</v>
      </c>
      <c r="F167" s="1">
        <v>231</v>
      </c>
      <c r="G167" s="1"/>
      <c r="H167" s="1"/>
      <c r="I167">
        <v>81.063000000000002</v>
      </c>
      <c r="J167">
        <v>121.47</v>
      </c>
      <c r="K167" s="1">
        <f t="shared" si="28"/>
        <v>-34</v>
      </c>
      <c r="L167" s="1">
        <f>7.5/26.75*180+180*1</f>
        <v>230.46728971962617</v>
      </c>
      <c r="N167" s="1"/>
      <c r="O167" s="1">
        <v>2.5142857142857012E-2</v>
      </c>
      <c r="P167">
        <f t="shared" si="22"/>
        <v>81.862634798043118</v>
      </c>
      <c r="Q167">
        <f t="shared" si="23"/>
        <v>80.340809616929491</v>
      </c>
      <c r="R167" t="e">
        <f t="shared" si="24"/>
        <v>#NUM!</v>
      </c>
      <c r="V167">
        <f t="shared" si="25"/>
        <v>125.18975398613904</v>
      </c>
      <c r="W167">
        <f t="shared" si="26"/>
        <v>146.18975398613881</v>
      </c>
      <c r="X167">
        <f t="shared" si="27"/>
        <v>-84.810246013861175</v>
      </c>
    </row>
    <row r="168" spans="1:24">
      <c r="A168">
        <f t="shared" si="18"/>
        <v>1300.9590000000001</v>
      </c>
      <c r="B168">
        <v>1149.5999999999999</v>
      </c>
      <c r="C168" s="1">
        <v>17.5</v>
      </c>
      <c r="D168" s="1">
        <v>175</v>
      </c>
      <c r="E168" s="1">
        <v>11.8</v>
      </c>
      <c r="F168" s="1">
        <v>197</v>
      </c>
      <c r="G168" s="1"/>
      <c r="H168" s="1"/>
      <c r="I168">
        <v>81.552000000000007</v>
      </c>
      <c r="J168">
        <v>116.17</v>
      </c>
      <c r="K168" s="1">
        <f t="shared" si="28"/>
        <v>-34</v>
      </c>
      <c r="L168" s="1">
        <f>2.5/26*180+180*1</f>
        <v>197.30769230769232</v>
      </c>
      <c r="N168" s="1"/>
      <c r="O168" s="1">
        <v>0.11314285714285688</v>
      </c>
      <c r="P168">
        <f t="shared" si="22"/>
        <v>82.285716887490878</v>
      </c>
      <c r="Q168">
        <f t="shared" si="23"/>
        <v>80.862596059887494</v>
      </c>
      <c r="R168" t="e">
        <f t="shared" si="24"/>
        <v>#NUM!</v>
      </c>
      <c r="V168">
        <f t="shared" si="25"/>
        <v>122.54213548665078</v>
      </c>
      <c r="W168">
        <f t="shared" si="26"/>
        <v>144.54213548665103</v>
      </c>
      <c r="X168">
        <f t="shared" si="27"/>
        <v>-52.45786451334908</v>
      </c>
    </row>
    <row r="169" spans="1:24">
      <c r="A169">
        <f t="shared" si="18"/>
        <v>1301.4590000000001</v>
      </c>
      <c r="B169">
        <v>1181</v>
      </c>
      <c r="C169" s="1">
        <v>18.5</v>
      </c>
      <c r="D169" s="1">
        <v>140</v>
      </c>
      <c r="E169" s="1">
        <v>12.5</v>
      </c>
      <c r="F169" s="1">
        <v>160</v>
      </c>
      <c r="G169" s="1"/>
      <c r="H169" s="1"/>
      <c r="I169">
        <v>81.867000000000004</v>
      </c>
      <c r="J169">
        <v>110.18</v>
      </c>
      <c r="K169" s="1">
        <f t="shared" si="28"/>
        <v>-37</v>
      </c>
      <c r="L169" s="1">
        <f>22/25.5*180+180*0</f>
        <v>155.29411764705884</v>
      </c>
      <c r="N169" s="1"/>
      <c r="O169" s="1">
        <v>0.2</v>
      </c>
      <c r="P169">
        <f t="shared" si="22"/>
        <v>82.681533338968123</v>
      </c>
      <c r="Q169">
        <f t="shared" si="23"/>
        <v>81.276299031068973</v>
      </c>
      <c r="R169" t="e">
        <f t="shared" si="24"/>
        <v>#NUM!</v>
      </c>
      <c r="V169">
        <f t="shared" si="25"/>
        <v>120.52475818522545</v>
      </c>
      <c r="W169">
        <f t="shared" si="26"/>
        <v>140.52475818522538</v>
      </c>
      <c r="X169">
        <f t="shared" si="27"/>
        <v>-19.475241814774691</v>
      </c>
    </row>
    <row r="170" spans="1:24">
      <c r="A170">
        <f t="shared" si="18"/>
        <v>1301.9590000000001</v>
      </c>
      <c r="B170">
        <v>1213.4000000000001</v>
      </c>
      <c r="C170" s="1">
        <v>19</v>
      </c>
      <c r="D170" s="1">
        <v>105</v>
      </c>
      <c r="E170" s="1">
        <v>13</v>
      </c>
      <c r="F170" s="1">
        <v>122</v>
      </c>
      <c r="G170" s="1"/>
      <c r="H170" s="1"/>
      <c r="I170">
        <v>82.186999999999998</v>
      </c>
      <c r="J170">
        <v>105.46</v>
      </c>
      <c r="K170" s="1">
        <f t="shared" si="28"/>
        <v>-38</v>
      </c>
      <c r="L170" s="1">
        <f>17/25*180+180*0</f>
        <v>122.4</v>
      </c>
      <c r="N170" s="1"/>
      <c r="O170" s="1">
        <v>0.2</v>
      </c>
      <c r="P170">
        <f t="shared" si="22"/>
        <v>82.913170789964411</v>
      </c>
      <c r="Q170">
        <f t="shared" si="23"/>
        <v>81.616965817044573</v>
      </c>
      <c r="R170" t="e">
        <f t="shared" si="24"/>
        <v>#NUM!</v>
      </c>
      <c r="V170">
        <f t="shared" si="25"/>
        <v>119.55778288056912</v>
      </c>
      <c r="W170">
        <f t="shared" si="26"/>
        <v>136.55778288056922</v>
      </c>
      <c r="X170">
        <f t="shared" si="27"/>
        <v>14.557782880569334</v>
      </c>
    </row>
    <row r="171" spans="1:24">
      <c r="A171">
        <f t="shared" si="18"/>
        <v>1302.4590000000001</v>
      </c>
      <c r="B171">
        <v>1246.5999999999999</v>
      </c>
      <c r="C171" s="1">
        <v>19.5</v>
      </c>
      <c r="D171" s="1">
        <v>70</v>
      </c>
      <c r="E171" s="1">
        <v>13.3</v>
      </c>
      <c r="F171" s="1">
        <v>83</v>
      </c>
      <c r="G171" s="1"/>
      <c r="H171" s="1"/>
      <c r="I171">
        <v>82.623000000000005</v>
      </c>
      <c r="J171">
        <v>103.31</v>
      </c>
      <c r="K171" s="1">
        <f t="shared" si="28"/>
        <v>-39</v>
      </c>
      <c r="L171" s="1">
        <f>11/24*180+180*0</f>
        <v>82.5</v>
      </c>
      <c r="N171" s="1"/>
      <c r="O171" s="1">
        <v>0.2</v>
      </c>
      <c r="P171">
        <f t="shared" si="22"/>
        <v>83.1387909981582</v>
      </c>
      <c r="Q171">
        <f t="shared" si="23"/>
        <v>81.81513159024955</v>
      </c>
      <c r="R171" t="e">
        <f t="shared" si="24"/>
        <v>#NUM!</v>
      </c>
      <c r="V171">
        <f t="shared" si="25"/>
        <v>119.4311291733294</v>
      </c>
      <c r="W171">
        <f t="shared" si="26"/>
        <v>132.4311291733292</v>
      </c>
      <c r="X171">
        <f t="shared" si="27"/>
        <v>49.431129173329325</v>
      </c>
    </row>
    <row r="172" spans="1:24">
      <c r="A172">
        <f t="shared" si="18"/>
        <v>1302.9590000000001</v>
      </c>
      <c r="B172">
        <v>1280.8</v>
      </c>
      <c r="C172" s="1">
        <v>19.5</v>
      </c>
      <c r="D172" s="1">
        <v>35</v>
      </c>
      <c r="E172" s="1">
        <v>13.6</v>
      </c>
      <c r="F172" s="1">
        <v>43</v>
      </c>
      <c r="G172" s="1"/>
      <c r="H172" s="1"/>
      <c r="I172">
        <v>83.153999999999996</v>
      </c>
      <c r="J172">
        <v>102.48</v>
      </c>
      <c r="K172" s="1">
        <f t="shared" si="28"/>
        <v>-40</v>
      </c>
      <c r="L172" s="1">
        <f>5.5/23.25*180+180*0</f>
        <v>42.580645161290327</v>
      </c>
      <c r="N172" s="1"/>
      <c r="O172" s="1">
        <v>0.17400000000000007</v>
      </c>
      <c r="P172">
        <f t="shared" si="22"/>
        <v>83.164790998158196</v>
      </c>
      <c r="Q172">
        <f t="shared" si="23"/>
        <v>82.034876938312181</v>
      </c>
      <c r="R172" t="e">
        <f t="shared" si="24"/>
        <v>#NUM!</v>
      </c>
      <c r="V172">
        <f t="shared" si="25"/>
        <v>120.35487746285898</v>
      </c>
      <c r="W172">
        <f t="shared" si="26"/>
        <v>128.35487746285895</v>
      </c>
      <c r="X172">
        <f t="shared" si="27"/>
        <v>85.354877462858951</v>
      </c>
    </row>
    <row r="173" spans="1:24">
      <c r="A173">
        <f t="shared" si="18"/>
        <v>1303.4590000000001</v>
      </c>
      <c r="B173">
        <v>1315.8</v>
      </c>
      <c r="C173" s="1">
        <v>20</v>
      </c>
      <c r="D173" s="1">
        <v>355</v>
      </c>
      <c r="E173" s="1">
        <v>14</v>
      </c>
      <c r="F173" s="1">
        <v>4</v>
      </c>
      <c r="G173" s="1"/>
      <c r="H173" s="1"/>
      <c r="I173">
        <v>83.706000000000003</v>
      </c>
      <c r="J173">
        <v>100.22</v>
      </c>
      <c r="K173" s="1">
        <f t="shared" si="28"/>
        <v>-39</v>
      </c>
      <c r="L173" s="1">
        <f>0.5/22.75*180+180*0</f>
        <v>3.9560439560439562</v>
      </c>
      <c r="N173" s="1"/>
      <c r="O173" s="1">
        <v>0.13025000000000006</v>
      </c>
      <c r="P173">
        <f t="shared" si="22"/>
        <v>83.428448684187472</v>
      </c>
      <c r="Q173">
        <f t="shared" si="23"/>
        <v>82.330409484472597</v>
      </c>
      <c r="R173" t="e">
        <f t="shared" si="24"/>
        <v>#NUM!</v>
      </c>
      <c r="V173">
        <f t="shared" si="25"/>
        <v>117.11894734980473</v>
      </c>
      <c r="W173">
        <f t="shared" si="26"/>
        <v>126.11894734980453</v>
      </c>
      <c r="X173">
        <f t="shared" si="27"/>
        <v>122.11894734980454</v>
      </c>
    </row>
    <row r="174" spans="1:24">
      <c r="A174">
        <f t="shared" si="18"/>
        <v>1303.9590000000001</v>
      </c>
      <c r="B174">
        <v>1351.8</v>
      </c>
      <c r="C174" s="1">
        <v>20</v>
      </c>
      <c r="D174" s="1">
        <v>315</v>
      </c>
      <c r="E174" s="1">
        <v>14</v>
      </c>
      <c r="F174" s="1">
        <v>325</v>
      </c>
      <c r="G174" s="1"/>
      <c r="H174" s="1"/>
      <c r="I174">
        <v>84.153999999999996</v>
      </c>
      <c r="J174">
        <v>95.855000000000004</v>
      </c>
      <c r="K174" s="1">
        <f t="shared" si="28"/>
        <v>-39</v>
      </c>
      <c r="L174" s="1">
        <f>18/22*180+180*1</f>
        <v>327.27272727272725</v>
      </c>
      <c r="N174" s="1"/>
      <c r="O174" s="1">
        <v>0.1</v>
      </c>
      <c r="P174">
        <f t="shared" si="22"/>
        <v>83.458698684187482</v>
      </c>
      <c r="Q174">
        <f t="shared" si="23"/>
        <v>82.360659484472606</v>
      </c>
      <c r="R174" t="e">
        <f t="shared" si="24"/>
        <v>#NUM!</v>
      </c>
      <c r="V174">
        <f t="shared" si="25"/>
        <v>114.93341923352041</v>
      </c>
      <c r="W174">
        <f t="shared" si="26"/>
        <v>124.93341923352037</v>
      </c>
      <c r="X174">
        <f t="shared" si="27"/>
        <v>159.9334192335204</v>
      </c>
    </row>
    <row r="175" spans="1:24">
      <c r="A175">
        <f t="shared" si="18"/>
        <v>1304.4590000000001</v>
      </c>
      <c r="B175">
        <v>1388.8</v>
      </c>
      <c r="C175" s="1">
        <v>20.5</v>
      </c>
      <c r="D175" s="1">
        <v>275</v>
      </c>
      <c r="E175" s="1">
        <v>14</v>
      </c>
      <c r="F175" s="1">
        <v>286</v>
      </c>
      <c r="G175" s="1"/>
      <c r="H175" s="1"/>
      <c r="I175">
        <v>84.400999999999996</v>
      </c>
      <c r="J175">
        <v>91.614999999999995</v>
      </c>
      <c r="K175" s="1">
        <f t="shared" si="28"/>
        <v>-39</v>
      </c>
      <c r="L175" s="1">
        <f>12.5/21.25*180+180*1</f>
        <v>285.88235294117646</v>
      </c>
      <c r="N175" s="1"/>
      <c r="O175" s="1">
        <v>0.1</v>
      </c>
      <c r="P175">
        <f t="shared" si="22"/>
        <v>83.673175992022934</v>
      </c>
      <c r="Q175">
        <f t="shared" si="23"/>
        <v>82.360659484472606</v>
      </c>
      <c r="R175" t="e">
        <f t="shared" si="24"/>
        <v>#NUM!</v>
      </c>
      <c r="V175">
        <f t="shared" si="25"/>
        <v>113.79829311400542</v>
      </c>
      <c r="W175">
        <f t="shared" si="26"/>
        <v>124.79829311400553</v>
      </c>
      <c r="X175">
        <f t="shared" si="27"/>
        <v>-161.20170688599441</v>
      </c>
    </row>
    <row r="176" spans="1:24">
      <c r="A176">
        <f t="shared" si="18"/>
        <v>1304.9590000000001</v>
      </c>
      <c r="B176">
        <v>1427</v>
      </c>
      <c r="C176" s="1">
        <v>21</v>
      </c>
      <c r="D176" s="1">
        <v>235</v>
      </c>
      <c r="E176" s="1">
        <v>14.5</v>
      </c>
      <c r="F176" s="1">
        <v>246</v>
      </c>
      <c r="G176" s="1"/>
      <c r="H176" s="1"/>
      <c r="I176">
        <v>84.554000000000002</v>
      </c>
      <c r="J176">
        <v>89.275999999999996</v>
      </c>
      <c r="K176" s="1">
        <f t="shared" si="28"/>
        <v>-40</v>
      </c>
      <c r="L176" s="1">
        <f>8/21*180+180*1</f>
        <v>248.57142857142856</v>
      </c>
      <c r="N176" s="1"/>
      <c r="O176" s="1">
        <v>0.1</v>
      </c>
      <c r="P176">
        <f t="shared" si="22"/>
        <v>83.882484665586247</v>
      </c>
      <c r="Q176">
        <f t="shared" si="23"/>
        <v>82.665458815607352</v>
      </c>
      <c r="R176" t="e">
        <f t="shared" si="24"/>
        <v>#NUM!</v>
      </c>
      <c r="V176">
        <f t="shared" si="25"/>
        <v>113.92364939061501</v>
      </c>
      <c r="W176">
        <f t="shared" si="26"/>
        <v>124.92364939061514</v>
      </c>
      <c r="X176">
        <f t="shared" si="27"/>
        <v>-121.07635060938495</v>
      </c>
    </row>
    <row r="177" spans="1:24">
      <c r="A177">
        <f t="shared" si="18"/>
        <v>1305.4590000000001</v>
      </c>
      <c r="B177">
        <v>1465.8</v>
      </c>
      <c r="C177" s="1">
        <v>21.5</v>
      </c>
      <c r="D177" s="1">
        <v>190</v>
      </c>
      <c r="E177" s="1">
        <v>15.3</v>
      </c>
      <c r="F177" s="1">
        <v>204</v>
      </c>
      <c r="G177" s="1"/>
      <c r="H177" s="1"/>
      <c r="I177">
        <v>84.811000000000007</v>
      </c>
      <c r="J177">
        <v>89.47</v>
      </c>
      <c r="K177" s="1">
        <f t="shared" si="28"/>
        <v>-42</v>
      </c>
      <c r="L177" s="1">
        <f>2.7/20.5*180+180*1</f>
        <v>203.70731707317074</v>
      </c>
      <c r="N177" s="1"/>
      <c r="O177" s="1">
        <v>0.1</v>
      </c>
      <c r="P177">
        <f t="shared" si="22"/>
        <v>84.086867969219952</v>
      </c>
      <c r="Q177">
        <f t="shared" si="23"/>
        <v>83.131927387259822</v>
      </c>
      <c r="R177" t="e">
        <f t="shared" si="24"/>
        <v>#NUM!</v>
      </c>
      <c r="V177">
        <f t="shared" si="25"/>
        <v>109.67924686528612</v>
      </c>
      <c r="W177">
        <f t="shared" si="26"/>
        <v>123.67924686528607</v>
      </c>
      <c r="X177">
        <f t="shared" si="27"/>
        <v>-80.32075313471384</v>
      </c>
    </row>
    <row r="178" spans="1:24">
      <c r="A178">
        <f t="shared" si="18"/>
        <v>1305.9590000000001</v>
      </c>
      <c r="B178">
        <v>1506.2</v>
      </c>
      <c r="C178" s="1">
        <v>22.5</v>
      </c>
      <c r="D178" s="1">
        <v>145</v>
      </c>
      <c r="E178" s="1">
        <v>16</v>
      </c>
      <c r="F178" s="1">
        <v>160</v>
      </c>
      <c r="G178" s="1"/>
      <c r="H178" s="1"/>
      <c r="I178">
        <v>85.212999999999994</v>
      </c>
      <c r="J178">
        <v>90.563000000000002</v>
      </c>
      <c r="K178" s="1">
        <f t="shared" si="28"/>
        <v>-44</v>
      </c>
      <c r="L178" s="1">
        <f>18/20*180+180*0</f>
        <v>162</v>
      </c>
      <c r="N178" s="1"/>
      <c r="O178" s="1">
        <v>0.1</v>
      </c>
      <c r="P178">
        <f t="shared" si="22"/>
        <v>84.481749133135111</v>
      </c>
      <c r="Q178">
        <f t="shared" si="23"/>
        <v>83.520498424026343</v>
      </c>
      <c r="R178" t="e">
        <f t="shared" si="24"/>
        <v>#NUM!</v>
      </c>
      <c r="V178">
        <f t="shared" si="25"/>
        <v>107.11548753478948</v>
      </c>
      <c r="W178">
        <f t="shared" si="26"/>
        <v>122.11548753478958</v>
      </c>
      <c r="X178">
        <f t="shared" si="27"/>
        <v>-37.884512465210491</v>
      </c>
    </row>
    <row r="179" spans="1:24">
      <c r="A179">
        <f t="shared" si="18"/>
        <v>1306.4590000000001</v>
      </c>
      <c r="B179">
        <v>1547.2</v>
      </c>
      <c r="C179" s="1">
        <v>23.8</v>
      </c>
      <c r="D179" s="1">
        <v>100</v>
      </c>
      <c r="E179" s="1">
        <v>17</v>
      </c>
      <c r="F179" s="1">
        <v>112</v>
      </c>
      <c r="G179" s="1"/>
      <c r="H179" s="1"/>
      <c r="I179">
        <v>85.54</v>
      </c>
      <c r="J179">
        <v>90.075000000000003</v>
      </c>
      <c r="K179" s="1">
        <f t="shared" si="28"/>
        <v>-48</v>
      </c>
      <c r="L179" s="1">
        <f>12/19.5*180+180*0</f>
        <v>110.76923076923077</v>
      </c>
      <c r="N179" s="1"/>
      <c r="O179" s="1">
        <v>0.13720000000000004</v>
      </c>
      <c r="P179">
        <f t="shared" si="22"/>
        <v>84.932437912038083</v>
      </c>
      <c r="Q179">
        <f t="shared" si="23"/>
        <v>84.009877198473305</v>
      </c>
      <c r="R179" t="e">
        <f t="shared" si="24"/>
        <v>#NUM!</v>
      </c>
      <c r="V179">
        <f t="shared" si="25"/>
        <v>105.18196940235448</v>
      </c>
      <c r="W179">
        <f t="shared" si="26"/>
        <v>117.18196940235444</v>
      </c>
      <c r="X179">
        <f t="shared" si="27"/>
        <v>5.1819694023545182</v>
      </c>
    </row>
    <row r="180" spans="1:24">
      <c r="A180">
        <f t="shared" si="18"/>
        <v>1306.9590000000001</v>
      </c>
      <c r="B180">
        <v>1589.8</v>
      </c>
      <c r="C180" s="1">
        <v>24.4</v>
      </c>
      <c r="D180" s="1">
        <v>55</v>
      </c>
      <c r="E180" s="1">
        <v>18</v>
      </c>
      <c r="F180" s="1">
        <v>64</v>
      </c>
      <c r="G180" s="1"/>
      <c r="H180" s="1"/>
      <c r="I180">
        <v>85.504999999999995</v>
      </c>
      <c r="J180">
        <v>88.352000000000004</v>
      </c>
      <c r="K180" s="1">
        <f t="shared" si="28"/>
        <v>-48</v>
      </c>
      <c r="L180" s="1">
        <f>6.7/18.5*180+180*0</f>
        <v>65.189189189189193</v>
      </c>
      <c r="N180" s="1"/>
      <c r="O180" s="1">
        <v>0.17979999999999996</v>
      </c>
      <c r="P180">
        <f t="shared" si="22"/>
        <v>85.10609529768243</v>
      </c>
      <c r="Q180">
        <f t="shared" si="23"/>
        <v>84.463748872973966</v>
      </c>
      <c r="R180" t="e">
        <f t="shared" si="24"/>
        <v>#NUM!</v>
      </c>
      <c r="V180">
        <f t="shared" si="25"/>
        <v>104.9290944647511</v>
      </c>
      <c r="W180">
        <f t="shared" si="26"/>
        <v>113.92909446475123</v>
      </c>
      <c r="X180">
        <f t="shared" si="27"/>
        <v>49.929094464751138</v>
      </c>
    </row>
    <row r="181" spans="1:24">
      <c r="A181">
        <f t="shared" si="18"/>
        <v>1307.4590000000001</v>
      </c>
      <c r="B181">
        <v>1633.2</v>
      </c>
      <c r="C181" s="1">
        <v>25.5</v>
      </c>
      <c r="D181" s="1">
        <v>10</v>
      </c>
      <c r="E181" s="1">
        <v>18.8</v>
      </c>
      <c r="F181" s="1">
        <v>15</v>
      </c>
      <c r="G181" s="1"/>
      <c r="H181" s="1"/>
      <c r="I181">
        <v>85.227999999999994</v>
      </c>
      <c r="J181">
        <v>87.233000000000004</v>
      </c>
      <c r="K181" s="1">
        <f t="shared" si="28"/>
        <v>-49</v>
      </c>
      <c r="L181" s="1">
        <f>2/18.25*180+180*0</f>
        <v>19.726027397260275</v>
      </c>
      <c r="N181" s="1"/>
      <c r="O181" s="1">
        <v>0.2</v>
      </c>
      <c r="P181">
        <f t="shared" si="22"/>
        <v>85.46890237958695</v>
      </c>
      <c r="Q181">
        <f t="shared" si="23"/>
        <v>84.821255756181444</v>
      </c>
      <c r="R181" t="e">
        <f t="shared" si="24"/>
        <v>#NUM!</v>
      </c>
      <c r="V181">
        <f t="shared" si="25"/>
        <v>105.51654112456369</v>
      </c>
      <c r="W181">
        <f t="shared" si="26"/>
        <v>110.51654112456383</v>
      </c>
      <c r="X181">
        <f t="shared" si="27"/>
        <v>95.51654112456373</v>
      </c>
    </row>
    <row r="182" spans="1:24">
      <c r="A182">
        <f t="shared" si="18"/>
        <v>1307.9590000000001</v>
      </c>
      <c r="B182">
        <v>1678</v>
      </c>
      <c r="C182" s="1">
        <v>26</v>
      </c>
      <c r="D182" s="1">
        <v>320</v>
      </c>
      <c r="E182" s="1">
        <v>19</v>
      </c>
      <c r="F182" s="1">
        <v>325</v>
      </c>
      <c r="G182" s="1"/>
      <c r="H182" s="1"/>
      <c r="I182">
        <v>85.174999999999997</v>
      </c>
      <c r="J182">
        <v>85.563999999999993</v>
      </c>
      <c r="K182" s="1">
        <f t="shared" si="28"/>
        <v>-50</v>
      </c>
      <c r="L182" s="1">
        <f>14.5/18*180+180*1</f>
        <v>325</v>
      </c>
      <c r="N182" s="1"/>
      <c r="O182" s="1">
        <v>0.2</v>
      </c>
      <c r="P182">
        <f t="shared" si="22"/>
        <v>85.637565730324198</v>
      </c>
      <c r="Q182">
        <f t="shared" si="23"/>
        <v>84.913170789964411</v>
      </c>
      <c r="R182" t="e">
        <f t="shared" si="24"/>
        <v>#NUM!</v>
      </c>
      <c r="V182">
        <f t="shared" si="25"/>
        <v>102.57455057985439</v>
      </c>
      <c r="W182">
        <f t="shared" si="26"/>
        <v>107.57455057985422</v>
      </c>
      <c r="X182">
        <f t="shared" si="27"/>
        <v>142.57455057985425</v>
      </c>
    </row>
    <row r="183" spans="1:24">
      <c r="A183">
        <f t="shared" si="18"/>
        <v>1308.4590000000001</v>
      </c>
      <c r="B183">
        <v>1723.8</v>
      </c>
      <c r="C183" s="1">
        <v>26.5</v>
      </c>
      <c r="D183" s="1">
        <v>265</v>
      </c>
      <c r="E183" s="1">
        <v>19.5</v>
      </c>
      <c r="F183" s="1">
        <v>274</v>
      </c>
      <c r="G183" s="1"/>
      <c r="H183" s="1"/>
      <c r="I183">
        <v>85.616</v>
      </c>
      <c r="J183">
        <v>80.623999999999995</v>
      </c>
      <c r="K183" s="1">
        <f t="shared" si="28"/>
        <v>-51</v>
      </c>
      <c r="L183" s="1">
        <f>18/35*180+180*1</f>
        <v>272.57142857142856</v>
      </c>
      <c r="N183" s="1"/>
      <c r="O183" s="1">
        <v>0.2</v>
      </c>
      <c r="P183">
        <f t="shared" si="22"/>
        <v>85.803016249644003</v>
      </c>
      <c r="Q183">
        <f t="shared" si="23"/>
        <v>85.1387909981582</v>
      </c>
      <c r="R183" t="e">
        <f t="shared" si="24"/>
        <v>#NUM!</v>
      </c>
      <c r="V183">
        <f t="shared" si="25"/>
        <v>95.682962031914585</v>
      </c>
      <c r="W183">
        <f t="shared" si="26"/>
        <v>104.68296203191471</v>
      </c>
      <c r="X183">
        <f t="shared" si="27"/>
        <v>-169.31703796808529</v>
      </c>
    </row>
    <row r="184" spans="1:24">
      <c r="A184">
        <f t="shared" si="18"/>
        <v>1308.9590000000001</v>
      </c>
      <c r="B184">
        <v>1771.2</v>
      </c>
      <c r="C184" s="1">
        <v>27</v>
      </c>
      <c r="D184" s="1">
        <v>210</v>
      </c>
      <c r="E184" s="1">
        <v>20</v>
      </c>
      <c r="F184" s="1">
        <v>223</v>
      </c>
      <c r="G184" s="1"/>
      <c r="H184" s="1"/>
      <c r="I184">
        <v>86.343999999999994</v>
      </c>
      <c r="J184">
        <v>73.307000000000002</v>
      </c>
      <c r="K184" s="1">
        <f t="shared" si="28"/>
        <v>-51</v>
      </c>
      <c r="L184" s="1">
        <f>8.5/34*180+180*1</f>
        <v>225</v>
      </c>
      <c r="N184" s="1"/>
      <c r="O184" s="1">
        <v>0.2</v>
      </c>
      <c r="P184">
        <f t="shared" si="22"/>
        <v>85.965374054087604</v>
      </c>
      <c r="Q184">
        <f t="shared" si="23"/>
        <v>85.358698684187459</v>
      </c>
      <c r="R184" t="e">
        <f t="shared" si="24"/>
        <v>#NUM!</v>
      </c>
      <c r="V184">
        <f t="shared" si="25"/>
        <v>90.47201667880671</v>
      </c>
      <c r="W184">
        <f t="shared" si="26"/>
        <v>103.47201667880682</v>
      </c>
      <c r="X184">
        <f t="shared" si="27"/>
        <v>-119.52798332119318</v>
      </c>
    </row>
    <row r="185" spans="1:24">
      <c r="A185">
        <f t="shared" si="18"/>
        <v>1309.4590000000001</v>
      </c>
      <c r="B185">
        <v>1819.6</v>
      </c>
      <c r="C185" s="1">
        <v>27.5</v>
      </c>
      <c r="D185" s="1">
        <v>160</v>
      </c>
      <c r="E185" s="1">
        <v>20.5</v>
      </c>
      <c r="F185" s="1">
        <v>172</v>
      </c>
      <c r="G185" s="1"/>
      <c r="H185" s="1"/>
      <c r="I185">
        <v>86.78</v>
      </c>
      <c r="J185">
        <v>66.611999999999995</v>
      </c>
      <c r="K185" s="1">
        <f t="shared" si="28"/>
        <v>-51</v>
      </c>
      <c r="L185" s="1">
        <f>31.5/33*180+180*0</f>
        <v>171.81818181818181</v>
      </c>
      <c r="N185" s="1"/>
      <c r="O185" s="1">
        <v>0.2</v>
      </c>
      <c r="P185">
        <f t="shared" si="22"/>
        <v>86.124752647513091</v>
      </c>
      <c r="Q185">
        <f t="shared" si="23"/>
        <v>85.573175992022911</v>
      </c>
      <c r="R185" t="e">
        <f t="shared" si="24"/>
        <v>#NUM!</v>
      </c>
      <c r="V185">
        <f t="shared" si="25"/>
        <v>91.311473322468942</v>
      </c>
      <c r="W185">
        <f t="shared" si="26"/>
        <v>103.31147332246888</v>
      </c>
      <c r="X185">
        <f t="shared" si="27"/>
        <v>-68.688526677531144</v>
      </c>
    </row>
    <row r="186" spans="1:24">
      <c r="A186">
        <f t="shared" si="18"/>
        <v>1309.9590000000001</v>
      </c>
      <c r="B186">
        <v>1869.4</v>
      </c>
      <c r="C186" s="1">
        <v>28</v>
      </c>
      <c r="D186" s="1">
        <v>110</v>
      </c>
      <c r="E186" s="1">
        <v>21</v>
      </c>
      <c r="F186" s="1">
        <v>118</v>
      </c>
      <c r="G186" s="1"/>
      <c r="H186" s="1"/>
      <c r="I186">
        <v>86.605000000000004</v>
      </c>
      <c r="J186">
        <v>63.732999999999997</v>
      </c>
      <c r="K186" s="1">
        <f t="shared" si="28"/>
        <v>-54</v>
      </c>
      <c r="L186" s="1">
        <f>21/32*180+180*0</f>
        <v>118.125</v>
      </c>
      <c r="N186" s="1"/>
      <c r="O186" s="1">
        <v>0.24490909090909099</v>
      </c>
      <c r="P186">
        <f t="shared" si="22"/>
        <v>86.23635030684315</v>
      </c>
      <c r="Q186">
        <f t="shared" si="23"/>
        <v>85.737575574677138</v>
      </c>
      <c r="R186" t="e">
        <f t="shared" si="24"/>
        <v>#NUM!</v>
      </c>
      <c r="V186">
        <f t="shared" si="25"/>
        <v>93.621492761608778</v>
      </c>
      <c r="W186">
        <f t="shared" si="26"/>
        <v>101.62149276160875</v>
      </c>
      <c r="X186">
        <f t="shared" si="27"/>
        <v>-16.378507238391151</v>
      </c>
    </row>
    <row r="187" spans="1:24">
      <c r="A187">
        <f t="shared" si="18"/>
        <v>1310.4590000000001</v>
      </c>
      <c r="B187">
        <v>1920.4</v>
      </c>
      <c r="C187" s="1">
        <v>30</v>
      </c>
      <c r="D187" s="1">
        <v>60</v>
      </c>
      <c r="E187" s="1">
        <v>21.9</v>
      </c>
      <c r="F187" s="1">
        <v>62</v>
      </c>
      <c r="G187" s="1"/>
      <c r="H187" s="1"/>
      <c r="I187">
        <v>86.27</v>
      </c>
      <c r="J187">
        <v>64.947000000000003</v>
      </c>
      <c r="K187" s="1">
        <f t="shared" si="28"/>
        <v>-56</v>
      </c>
      <c r="L187" s="1">
        <f>11/31*180+180*0</f>
        <v>63.870967741935488</v>
      </c>
      <c r="N187" s="1"/>
      <c r="O187" s="1">
        <v>0.29127272727272735</v>
      </c>
      <c r="P187">
        <f t="shared" si="22"/>
        <v>86.789251138028376</v>
      </c>
      <c r="Q187">
        <f t="shared" si="23"/>
        <v>86.055708340437477</v>
      </c>
      <c r="R187" t="e">
        <f t="shared" si="24"/>
        <v>#NUM!</v>
      </c>
      <c r="V187">
        <f t="shared" si="25"/>
        <v>97.191994596872888</v>
      </c>
      <c r="W187">
        <f t="shared" si="26"/>
        <v>99.191994596872888</v>
      </c>
      <c r="X187">
        <f t="shared" si="27"/>
        <v>37.191994596872782</v>
      </c>
    </row>
    <row r="188" spans="1:24">
      <c r="A188">
        <f t="shared" si="18"/>
        <v>1310.9590000000001</v>
      </c>
      <c r="B188">
        <v>1973.2</v>
      </c>
      <c r="C188" s="1">
        <v>31</v>
      </c>
      <c r="D188" s="1">
        <v>0</v>
      </c>
      <c r="E188" s="1">
        <v>22.7</v>
      </c>
      <c r="F188" s="1">
        <v>3</v>
      </c>
      <c r="G188" s="1"/>
      <c r="H188" s="1"/>
      <c r="I188">
        <v>86.325999999999993</v>
      </c>
      <c r="J188">
        <v>67.099000000000004</v>
      </c>
      <c r="K188" s="1">
        <f t="shared" si="28"/>
        <v>-59</v>
      </c>
      <c r="L188" s="1">
        <f>0.5/30.5*180+180*0</f>
        <v>2.9508196721311477</v>
      </c>
      <c r="N188" s="1"/>
      <c r="O188" s="1">
        <v>0.33600000000000002</v>
      </c>
      <c r="P188">
        <f t="shared" si="22"/>
        <v>87.029332647593307</v>
      </c>
      <c r="Q188">
        <f t="shared" si="23"/>
        <v>86.322615914770282</v>
      </c>
      <c r="R188" t="e">
        <f t="shared" si="24"/>
        <v>#NUM!</v>
      </c>
      <c r="V188">
        <f t="shared" si="25"/>
        <v>92.653220026322316</v>
      </c>
      <c r="W188">
        <f t="shared" si="26"/>
        <v>95.653220026322458</v>
      </c>
      <c r="X188">
        <f t="shared" si="27"/>
        <v>92.653220026322316</v>
      </c>
    </row>
    <row r="189" spans="1:24">
      <c r="A189">
        <f t="shared" si="18"/>
        <v>1311.4590000000001</v>
      </c>
      <c r="B189">
        <v>2026</v>
      </c>
      <c r="C189" s="1">
        <v>32</v>
      </c>
      <c r="D189" s="1">
        <v>300</v>
      </c>
      <c r="E189" s="1">
        <v>22.8</v>
      </c>
      <c r="F189" s="1">
        <v>302</v>
      </c>
      <c r="G189" s="1"/>
      <c r="H189" s="1"/>
      <c r="I189">
        <v>86.799000000000007</v>
      </c>
      <c r="J189">
        <v>65.789000000000001</v>
      </c>
      <c r="K189" s="1">
        <f t="shared" si="28"/>
        <v>-61</v>
      </c>
      <c r="L189" s="1">
        <f>20/29.5*180+180*1</f>
        <v>302.03389830508473</v>
      </c>
      <c r="N189" s="1"/>
      <c r="O189" s="1">
        <v>0.38</v>
      </c>
      <c r="P189">
        <f t="shared" si="22"/>
        <v>87.261098337305981</v>
      </c>
      <c r="Q189">
        <f t="shared" si="23"/>
        <v>86.316795710916921</v>
      </c>
      <c r="R189" t="e">
        <f t="shared" si="24"/>
        <v>#NUM!</v>
      </c>
      <c r="V189">
        <f t="shared" si="25"/>
        <v>88.114445455771431</v>
      </c>
      <c r="W189">
        <f t="shared" si="26"/>
        <v>90.114445455771417</v>
      </c>
      <c r="X189">
        <f t="shared" si="27"/>
        <v>148.11444545577154</v>
      </c>
    </row>
    <row r="190" spans="1:24">
      <c r="A190">
        <f t="shared" si="18"/>
        <v>1311.9590000000001</v>
      </c>
      <c r="B190">
        <v>2082</v>
      </c>
      <c r="C190" s="1">
        <v>32</v>
      </c>
      <c r="D190" s="1">
        <v>230</v>
      </c>
      <c r="E190" s="1">
        <v>22.9</v>
      </c>
      <c r="F190" s="1">
        <v>241</v>
      </c>
      <c r="G190" s="1"/>
      <c r="H190" s="1"/>
      <c r="I190">
        <v>87.123999999999995</v>
      </c>
      <c r="J190">
        <v>57.338999999999999</v>
      </c>
      <c r="K190" s="1">
        <f t="shared" si="28"/>
        <v>-61</v>
      </c>
      <c r="L190" s="1">
        <f>10/29*180+180*1</f>
        <v>242.06896551724139</v>
      </c>
      <c r="N190" s="1"/>
      <c r="O190" s="1">
        <v>0.37538461538461537</v>
      </c>
      <c r="P190">
        <f t="shared" si="22"/>
        <v>87.265713721921358</v>
      </c>
      <c r="Q190">
        <f t="shared" si="23"/>
        <v>86.35942380232099</v>
      </c>
      <c r="R190" t="e">
        <f t="shared" si="24"/>
        <v>#NUM!</v>
      </c>
      <c r="V190">
        <f t="shared" si="25"/>
        <v>76.936957274884747</v>
      </c>
      <c r="W190">
        <f t="shared" si="26"/>
        <v>87.936957274884861</v>
      </c>
      <c r="X190">
        <f t="shared" si="27"/>
        <v>-153.06304272511508</v>
      </c>
    </row>
    <row r="191" spans="1:24">
      <c r="A191">
        <f t="shared" si="18"/>
        <v>1312.4590000000001</v>
      </c>
      <c r="B191">
        <v>2140</v>
      </c>
      <c r="C191" s="1">
        <v>31.5</v>
      </c>
      <c r="D191" s="1">
        <v>165</v>
      </c>
      <c r="E191" s="1">
        <v>23</v>
      </c>
      <c r="F191" s="1">
        <v>180</v>
      </c>
      <c r="G191" s="1"/>
      <c r="H191" s="1"/>
      <c r="I191">
        <v>86.85</v>
      </c>
      <c r="J191">
        <v>45.402999999999999</v>
      </c>
      <c r="K191" s="1">
        <f t="shared" si="28"/>
        <v>-61</v>
      </c>
      <c r="L191" s="1">
        <f>0/29*180+180*1</f>
        <v>180</v>
      </c>
      <c r="N191" s="1"/>
      <c r="O191" s="1">
        <v>0.33076923076923076</v>
      </c>
      <c r="P191">
        <f t="shared" si="22"/>
        <v>87.173540615930634</v>
      </c>
      <c r="Q191">
        <f t="shared" si="23"/>
        <v>86.441886260490463</v>
      </c>
      <c r="R191" t="e">
        <f t="shared" si="24"/>
        <v>#NUM!</v>
      </c>
      <c r="V191">
        <f t="shared" si="25"/>
        <v>72.860273087537479</v>
      </c>
      <c r="W191">
        <f t="shared" si="26"/>
        <v>87.860273087537593</v>
      </c>
      <c r="X191">
        <f t="shared" si="27"/>
        <v>-92.139726912462407</v>
      </c>
    </row>
    <row r="192" spans="1:24">
      <c r="A192">
        <f t="shared" si="18"/>
        <v>1312.9590000000001</v>
      </c>
      <c r="B192">
        <v>2198</v>
      </c>
      <c r="C192" s="1">
        <v>31.5</v>
      </c>
      <c r="D192" s="1">
        <v>100</v>
      </c>
      <c r="E192" s="1">
        <v>23</v>
      </c>
      <c r="F192" s="1">
        <v>118</v>
      </c>
      <c r="G192" s="1"/>
      <c r="H192" s="1"/>
      <c r="I192">
        <v>86.468000000000004</v>
      </c>
      <c r="J192">
        <v>37.197000000000003</v>
      </c>
      <c r="K192" s="1">
        <f t="shared" si="28"/>
        <v>-62</v>
      </c>
      <c r="L192" s="1">
        <f>18/27.5*180+180*0</f>
        <v>117.81818181818181</v>
      </c>
      <c r="N192" s="1"/>
      <c r="O192" s="1">
        <v>0.3</v>
      </c>
      <c r="P192">
        <f t="shared" si="22"/>
        <v>87.204309846699871</v>
      </c>
      <c r="Q192">
        <f t="shared" si="23"/>
        <v>86.472655491259701</v>
      </c>
      <c r="R192" t="e">
        <f t="shared" si="24"/>
        <v>#NUM!</v>
      </c>
      <c r="V192">
        <f t="shared" si="25"/>
        <v>68.783588900190551</v>
      </c>
      <c r="W192">
        <f t="shared" si="26"/>
        <v>86.78358890019048</v>
      </c>
      <c r="X192">
        <f t="shared" si="27"/>
        <v>-31.21641109980942</v>
      </c>
    </row>
    <row r="193" spans="1:24">
      <c r="A193">
        <f t="shared" si="18"/>
        <v>1313.4590000000001</v>
      </c>
      <c r="B193">
        <v>2258</v>
      </c>
      <c r="C193" s="1">
        <v>31.5</v>
      </c>
      <c r="D193" s="1">
        <v>35</v>
      </c>
      <c r="E193" s="1">
        <v>23</v>
      </c>
      <c r="F193" s="1">
        <v>56</v>
      </c>
      <c r="G193" s="1"/>
      <c r="H193" s="1"/>
      <c r="I193">
        <v>86.394000000000005</v>
      </c>
      <c r="J193">
        <v>33.948999999999998</v>
      </c>
      <c r="K193" s="1">
        <f t="shared" si="28"/>
        <v>-62</v>
      </c>
      <c r="L193" s="1">
        <f>8.5/26.5*180+180*0</f>
        <v>57.735849056603769</v>
      </c>
      <c r="N193" s="1"/>
      <c r="O193" s="1">
        <v>0.3</v>
      </c>
      <c r="P193">
        <f t="shared" si="22"/>
        <v>87.204309846699871</v>
      </c>
      <c r="Q193">
        <f t="shared" si="23"/>
        <v>86.472655491259701</v>
      </c>
      <c r="R193" t="e">
        <f t="shared" si="24"/>
        <v>#NUM!</v>
      </c>
      <c r="V193">
        <f t="shared" si="25"/>
        <v>66.807708706383195</v>
      </c>
      <c r="W193">
        <f t="shared" si="26"/>
        <v>87.807708706383281</v>
      </c>
      <c r="X193">
        <f t="shared" si="27"/>
        <v>31.80770870638316</v>
      </c>
    </row>
    <row r="194" spans="1:24">
      <c r="A194">
        <f t="shared" si="18"/>
        <v>1313.9590000000001</v>
      </c>
      <c r="B194">
        <v>2320</v>
      </c>
      <c r="C194" s="1">
        <v>32</v>
      </c>
      <c r="D194" s="1">
        <v>330</v>
      </c>
      <c r="E194" s="1">
        <v>24</v>
      </c>
      <c r="F194" s="1">
        <v>352</v>
      </c>
      <c r="G194" s="1"/>
      <c r="H194" s="1"/>
      <c r="I194">
        <v>86.438999999999993</v>
      </c>
      <c r="J194">
        <v>32.222999999999999</v>
      </c>
      <c r="K194" s="1">
        <f t="shared" si="28"/>
        <v>-64</v>
      </c>
      <c r="L194" s="1">
        <f>25/26*180+180*1</f>
        <v>353.07692307692309</v>
      </c>
      <c r="N194" s="1"/>
      <c r="O194" s="1">
        <v>0.3</v>
      </c>
      <c r="P194">
        <f t="shared" si="22"/>
        <v>87.341098337305979</v>
      </c>
      <c r="Q194">
        <f t="shared" si="23"/>
        <v>86.842323605139967</v>
      </c>
      <c r="R194" t="e">
        <f t="shared" si="24"/>
        <v>#NUM!</v>
      </c>
      <c r="V194">
        <f t="shared" si="25"/>
        <v>66.932632506116079</v>
      </c>
      <c r="W194">
        <f t="shared" si="26"/>
        <v>88.932632506115681</v>
      </c>
      <c r="X194">
        <f t="shared" si="27"/>
        <v>96.932632506115652</v>
      </c>
    </row>
    <row r="195" spans="1:24">
      <c r="A195">
        <f t="shared" si="18"/>
        <v>1314.4590000000001</v>
      </c>
      <c r="B195">
        <v>2384</v>
      </c>
      <c r="C195" s="1">
        <v>34</v>
      </c>
      <c r="D195" s="1">
        <v>260</v>
      </c>
      <c r="E195" s="1">
        <v>25</v>
      </c>
      <c r="F195" s="1">
        <v>285</v>
      </c>
      <c r="G195" s="1"/>
      <c r="H195" s="1"/>
      <c r="I195">
        <v>86.614000000000004</v>
      </c>
      <c r="J195">
        <v>30.817</v>
      </c>
      <c r="K195" s="1">
        <f t="shared" si="28"/>
        <v>-67</v>
      </c>
      <c r="L195" s="1">
        <f>15/25*180+180*1</f>
        <v>288</v>
      </c>
      <c r="N195" s="1"/>
      <c r="O195" s="1">
        <v>0.2573333333333333</v>
      </c>
      <c r="P195">
        <f t="shared" si="22"/>
        <v>87.910343778419616</v>
      </c>
      <c r="Q195">
        <f t="shared" si="23"/>
        <v>87.239565611015252</v>
      </c>
      <c r="R195" t="e">
        <f t="shared" si="24"/>
        <v>#NUM!</v>
      </c>
      <c r="V195">
        <f t="shared" si="25"/>
        <v>64.158360299387454</v>
      </c>
      <c r="W195">
        <f t="shared" si="26"/>
        <v>89.158360299388164</v>
      </c>
      <c r="X195">
        <f t="shared" si="27"/>
        <v>164.15836029938774</v>
      </c>
    </row>
    <row r="196" spans="1:24">
      <c r="A196">
        <f t="shared" si="18"/>
        <v>1314.9590000000001</v>
      </c>
      <c r="B196">
        <v>2448</v>
      </c>
      <c r="C196" s="1">
        <v>35</v>
      </c>
      <c r="D196" s="1">
        <v>190</v>
      </c>
      <c r="E196" s="1">
        <v>26</v>
      </c>
      <c r="F196" s="1">
        <v>212</v>
      </c>
      <c r="G196" s="1"/>
      <c r="H196" s="1"/>
      <c r="I196">
        <v>87.025000000000006</v>
      </c>
      <c r="J196">
        <v>29.117999999999999</v>
      </c>
      <c r="K196" s="1">
        <f t="shared" si="28"/>
        <v>-73</v>
      </c>
      <c r="L196" s="1">
        <f>4.3/24.5*180+180*1</f>
        <v>211.59183673469389</v>
      </c>
      <c r="N196" s="1"/>
      <c r="O196" s="1">
        <v>0.21466666666666667</v>
      </c>
      <c r="P196">
        <f t="shared" si="22"/>
        <v>88.204792991246691</v>
      </c>
      <c r="Q196">
        <f t="shared" si="23"/>
        <v>87.622899063657528</v>
      </c>
      <c r="R196" t="e">
        <f t="shared" si="24"/>
        <v>#NUM!</v>
      </c>
      <c r="V196">
        <f t="shared" si="25"/>
        <v>61.384088092660107</v>
      </c>
      <c r="W196">
        <f t="shared" si="26"/>
        <v>83.384088092659709</v>
      </c>
      <c r="X196">
        <f t="shared" si="27"/>
        <v>-128.61591190734018</v>
      </c>
    </row>
    <row r="197" spans="1:24">
      <c r="A197">
        <f t="shared" si="18"/>
        <v>1315.4590000000001</v>
      </c>
      <c r="B197">
        <v>2516</v>
      </c>
      <c r="C197" s="1">
        <v>36</v>
      </c>
      <c r="D197" s="1">
        <v>120</v>
      </c>
      <c r="E197" s="1">
        <v>26.5</v>
      </c>
      <c r="F197" s="1">
        <v>138</v>
      </c>
      <c r="G197" s="1"/>
      <c r="H197" s="1"/>
      <c r="I197">
        <v>87.248999999999995</v>
      </c>
      <c r="J197">
        <v>26.367999999999999</v>
      </c>
      <c r="K197" s="1">
        <f t="shared" si="28"/>
        <v>-74</v>
      </c>
      <c r="L197" s="1">
        <f>18/24*180+180*0</f>
        <v>135</v>
      </c>
      <c r="N197" s="1"/>
      <c r="O197" s="1">
        <v>0.22875000000000001</v>
      </c>
      <c r="P197">
        <f t="shared" si="22"/>
        <v>88.4353987862536</v>
      </c>
      <c r="Q197">
        <f t="shared" si="23"/>
        <v>87.774266249643986</v>
      </c>
      <c r="R197" t="e">
        <f t="shared" si="24"/>
        <v>#NUM!</v>
      </c>
      <c r="V197">
        <f t="shared" si="25"/>
        <v>62.811423873011307</v>
      </c>
      <c r="W197">
        <f t="shared" si="26"/>
        <v>80.811423873011563</v>
      </c>
      <c r="X197">
        <f t="shared" si="27"/>
        <v>-57.188576126988266</v>
      </c>
    </row>
    <row r="198" spans="1:24">
      <c r="A198">
        <f t="shared" si="18"/>
        <v>1315.9590000000001</v>
      </c>
      <c r="B198">
        <v>2584</v>
      </c>
      <c r="C198" s="1">
        <v>36</v>
      </c>
      <c r="D198" s="1">
        <v>50</v>
      </c>
      <c r="E198" s="1">
        <v>27</v>
      </c>
      <c r="F198" s="1">
        <v>63</v>
      </c>
      <c r="G198" s="1"/>
      <c r="H198" s="1"/>
      <c r="I198">
        <v>87.081999999999994</v>
      </c>
      <c r="J198">
        <v>23.812000000000001</v>
      </c>
      <c r="K198" s="1">
        <f t="shared" si="28"/>
        <v>-75</v>
      </c>
      <c r="L198" s="1">
        <f>9/23*180+180*0</f>
        <v>70.434782608695656</v>
      </c>
      <c r="N198" s="1"/>
      <c r="O198" s="1">
        <v>0.27124999999999999</v>
      </c>
      <c r="P198">
        <f t="shared" si="22"/>
        <v>88.39289878625361</v>
      </c>
      <c r="Q198">
        <f t="shared" si="23"/>
        <v>87.894124054087598</v>
      </c>
      <c r="R198" t="e">
        <f t="shared" si="24"/>
        <v>#NUM!</v>
      </c>
      <c r="V198">
        <f t="shared" si="25"/>
        <v>64.238759653363786</v>
      </c>
      <c r="W198">
        <f t="shared" si="26"/>
        <v>77.23875965336326</v>
      </c>
      <c r="X198">
        <f t="shared" si="27"/>
        <v>14.238759653363644</v>
      </c>
    </row>
    <row r="199" spans="1:24">
      <c r="A199">
        <f t="shared" si="18"/>
        <v>1316.4590000000001</v>
      </c>
      <c r="B199">
        <v>2656</v>
      </c>
      <c r="C199" s="1">
        <v>36</v>
      </c>
      <c r="D199" s="1">
        <v>335</v>
      </c>
      <c r="E199" s="1">
        <v>28</v>
      </c>
      <c r="F199" s="1">
        <v>348</v>
      </c>
      <c r="G199" s="1"/>
      <c r="H199" s="1"/>
      <c r="I199">
        <v>87.165000000000006</v>
      </c>
      <c r="J199">
        <v>19.856000000000002</v>
      </c>
      <c r="K199" s="1">
        <f t="shared" si="28"/>
        <v>-75</v>
      </c>
      <c r="L199" s="1">
        <f>21.5/22.5*180+180*1</f>
        <v>352</v>
      </c>
      <c r="N199" s="1"/>
      <c r="O199" s="1">
        <v>0.23499999999999999</v>
      </c>
      <c r="P199">
        <f t="shared" si="22"/>
        <v>88.429148786253606</v>
      </c>
      <c r="Q199">
        <f t="shared" si="23"/>
        <v>88.246259397752226</v>
      </c>
      <c r="R199" t="e">
        <f t="shared" si="24"/>
        <v>#NUM!</v>
      </c>
      <c r="V199">
        <f t="shared" si="25"/>
        <v>64.867703420794669</v>
      </c>
      <c r="W199">
        <f t="shared" si="26"/>
        <v>77.867703420794143</v>
      </c>
      <c r="X199">
        <f t="shared" si="27"/>
        <v>89.867703420794101</v>
      </c>
    </row>
    <row r="200" spans="1:24">
      <c r="A200">
        <f t="shared" si="18"/>
        <v>1316.9590000000001</v>
      </c>
      <c r="B200">
        <v>2728</v>
      </c>
      <c r="C200" s="1">
        <v>34.5</v>
      </c>
      <c r="D200" s="1">
        <v>255</v>
      </c>
      <c r="E200" s="1">
        <v>28</v>
      </c>
      <c r="F200" s="1">
        <v>270</v>
      </c>
      <c r="G200" s="1"/>
      <c r="H200" s="1"/>
      <c r="I200">
        <v>87.372</v>
      </c>
      <c r="J200">
        <v>12.587999999999999</v>
      </c>
      <c r="K200" s="1">
        <f t="shared" si="28"/>
        <v>-78</v>
      </c>
      <c r="L200" s="1">
        <f>11/22*180+180*1</f>
        <v>270</v>
      </c>
      <c r="N200" s="1"/>
      <c r="O200" s="1">
        <v>5.4999999999999966E-2</v>
      </c>
      <c r="P200">
        <f t="shared" si="22"/>
        <v>88.239480672373332</v>
      </c>
      <c r="Q200">
        <f t="shared" si="23"/>
        <v>88.426259397752219</v>
      </c>
      <c r="R200" t="e">
        <f t="shared" si="24"/>
        <v>#NUM!</v>
      </c>
      <c r="V200">
        <f t="shared" si="25"/>
        <v>60.49664718822541</v>
      </c>
      <c r="W200">
        <f t="shared" si="26"/>
        <v>75.496647188225836</v>
      </c>
      <c r="X200">
        <f t="shared" si="27"/>
        <v>165.49664718822584</v>
      </c>
    </row>
    <row r="201" spans="1:24">
      <c r="A201">
        <f t="shared" si="18"/>
        <v>1317.4590000000001</v>
      </c>
      <c r="B201">
        <v>2802</v>
      </c>
      <c r="C201" s="1">
        <v>35</v>
      </c>
      <c r="D201" s="1">
        <v>170</v>
      </c>
      <c r="E201" s="1">
        <v>28</v>
      </c>
      <c r="F201" s="1">
        <v>189</v>
      </c>
      <c r="G201" s="1"/>
      <c r="H201" s="1"/>
      <c r="I201">
        <v>86.828000000000003</v>
      </c>
      <c r="J201">
        <v>9.5685000000000002</v>
      </c>
      <c r="K201" s="1">
        <f t="shared" si="28"/>
        <v>-81</v>
      </c>
      <c r="L201" s="1">
        <f>1/21*180+180*1</f>
        <v>188.57142857142858</v>
      </c>
      <c r="N201" s="1"/>
      <c r="O201" s="1">
        <v>-0.1</v>
      </c>
      <c r="P201">
        <f t="shared" si="22"/>
        <v>88.519459657913359</v>
      </c>
      <c r="Q201">
        <f t="shared" si="23"/>
        <v>88.58125939775222</v>
      </c>
      <c r="R201" t="e">
        <f t="shared" si="24"/>
        <v>#NUM!</v>
      </c>
      <c r="V201">
        <f t="shared" si="25"/>
        <v>53.22639494919656</v>
      </c>
      <c r="W201">
        <f t="shared" si="26"/>
        <v>72.226394949196973</v>
      </c>
      <c r="X201">
        <f t="shared" si="27"/>
        <v>-116.77360505080316</v>
      </c>
    </row>
    <row r="202" spans="1:24">
      <c r="A202">
        <f t="shared" si="18"/>
        <v>1317.9590000000001</v>
      </c>
      <c r="B202">
        <v>2880</v>
      </c>
      <c r="C202" s="1">
        <v>36</v>
      </c>
      <c r="D202" s="1">
        <v>90</v>
      </c>
      <c r="E202" s="1">
        <v>28</v>
      </c>
      <c r="F202" s="1">
        <v>107</v>
      </c>
      <c r="G202" s="1"/>
      <c r="H202" s="1"/>
      <c r="I202">
        <v>86.367000000000004</v>
      </c>
      <c r="J202">
        <v>16.759</v>
      </c>
      <c r="K202" s="1">
        <f t="shared" si="28"/>
        <v>-82</v>
      </c>
      <c r="L202" s="1">
        <f>13/21*180+180*0</f>
        <v>111.42857142857143</v>
      </c>
      <c r="N202" s="1"/>
      <c r="O202" s="1">
        <v>-0.1</v>
      </c>
      <c r="P202">
        <f t="shared" si="22"/>
        <v>88.7641487862536</v>
      </c>
      <c r="Q202">
        <f t="shared" si="23"/>
        <v>88.58125939775222</v>
      </c>
      <c r="R202" t="e">
        <f t="shared" si="24"/>
        <v>#NUM!</v>
      </c>
      <c r="V202">
        <f t="shared" si="25"/>
        <v>55.157750697247039</v>
      </c>
      <c r="W202">
        <f t="shared" si="26"/>
        <v>72.157750697247138</v>
      </c>
      <c r="X202">
        <f t="shared" si="27"/>
        <v>-34.842249302752961</v>
      </c>
    </row>
    <row r="203" spans="1:24">
      <c r="A203">
        <f t="shared" si="18"/>
        <v>1318.4590000000001</v>
      </c>
      <c r="B203">
        <v>2958</v>
      </c>
      <c r="C203" s="1">
        <v>37</v>
      </c>
      <c r="D203" s="1">
        <v>10</v>
      </c>
      <c r="E203" s="1">
        <v>29</v>
      </c>
      <c r="F203" s="1">
        <v>22</v>
      </c>
      <c r="G203" s="1"/>
      <c r="H203" s="1"/>
      <c r="I203">
        <v>86.941999999999993</v>
      </c>
      <c r="J203">
        <v>25.355</v>
      </c>
      <c r="K203" s="1">
        <f t="shared" si="28"/>
        <v>-85</v>
      </c>
      <c r="L203" s="1">
        <f>2.5/20.5*180+180*0</f>
        <v>21.95121951219512</v>
      </c>
      <c r="N203" s="1"/>
      <c r="O203" s="1">
        <v>-0.1</v>
      </c>
      <c r="P203">
        <f t="shared" si="22"/>
        <v>89.002133252247745</v>
      </c>
      <c r="Q203">
        <f t="shared" si="23"/>
        <v>88.886058728886965</v>
      </c>
      <c r="R203" t="e">
        <f t="shared" si="24"/>
        <v>#NUM!</v>
      </c>
      <c r="V203">
        <f t="shared" si="25"/>
        <v>57.089106445297517</v>
      </c>
      <c r="W203">
        <f t="shared" si="26"/>
        <v>69.089106445297475</v>
      </c>
      <c r="X203">
        <f t="shared" si="27"/>
        <v>47.089106445297233</v>
      </c>
    </row>
    <row r="204" spans="1:24">
      <c r="A204">
        <f t="shared" si="18"/>
        <v>1318.9590000000001</v>
      </c>
      <c r="B204">
        <v>3040</v>
      </c>
      <c r="C204" s="1">
        <v>38</v>
      </c>
      <c r="D204" s="1">
        <v>285</v>
      </c>
      <c r="E204" s="1">
        <v>29.5</v>
      </c>
      <c r="F204" s="1">
        <v>295</v>
      </c>
      <c r="G204" s="1"/>
      <c r="H204" s="1"/>
      <c r="I204">
        <v>87.614000000000004</v>
      </c>
      <c r="J204">
        <v>27.625</v>
      </c>
      <c r="K204" s="1">
        <f t="shared" si="28"/>
        <v>-87</v>
      </c>
      <c r="L204" s="1">
        <f>12.5/19.5*180+180*1</f>
        <v>295.38461538461542</v>
      </c>
      <c r="N204" s="1"/>
      <c r="O204" s="1">
        <v>-6.3157894736842107E-2</v>
      </c>
      <c r="P204">
        <f t="shared" si="22"/>
        <v>89.196928597980886</v>
      </c>
      <c r="Q204">
        <f t="shared" si="23"/>
        <v>88.997696985207952</v>
      </c>
      <c r="R204" t="e">
        <f t="shared" si="24"/>
        <v>#NUM!</v>
      </c>
      <c r="V204">
        <f t="shared" si="25"/>
        <v>58.222070180427039</v>
      </c>
      <c r="W204">
        <f t="shared" si="26"/>
        <v>68.222070180427323</v>
      </c>
      <c r="X204">
        <f t="shared" si="27"/>
        <v>133.22207018042724</v>
      </c>
    </row>
    <row r="205" spans="1:24">
      <c r="A205">
        <f t="shared" si="18"/>
        <v>1319.4590000000001</v>
      </c>
      <c r="B205">
        <v>3124</v>
      </c>
      <c r="C205" s="1">
        <v>38</v>
      </c>
      <c r="D205" s="1">
        <v>190</v>
      </c>
      <c r="E205" s="1">
        <v>29</v>
      </c>
      <c r="F205" s="1">
        <v>207</v>
      </c>
      <c r="G205" s="1"/>
      <c r="H205" s="1"/>
      <c r="I205">
        <v>87.721000000000004</v>
      </c>
      <c r="J205">
        <v>30.888000000000002</v>
      </c>
      <c r="K205" s="1">
        <f t="shared" si="28"/>
        <v>-88</v>
      </c>
      <c r="L205" s="1">
        <f>3.5/19*180+180*1</f>
        <v>213.15789473684211</v>
      </c>
      <c r="N205" s="1"/>
      <c r="O205" s="1">
        <v>-1.8947368421052629E-2</v>
      </c>
      <c r="P205">
        <f t="shared" si="22"/>
        <v>89.152718071665092</v>
      </c>
      <c r="Q205">
        <f t="shared" si="23"/>
        <v>88.805006097308024</v>
      </c>
      <c r="R205" t="e">
        <f t="shared" si="24"/>
        <v>#NUM!</v>
      </c>
      <c r="V205">
        <f t="shared" si="25"/>
        <v>51.455837909097468</v>
      </c>
      <c r="W205">
        <f t="shared" si="26"/>
        <v>68.455837909096928</v>
      </c>
      <c r="X205">
        <f t="shared" si="27"/>
        <v>-138.54416209090283</v>
      </c>
    </row>
    <row r="206" spans="1:24">
      <c r="A206">
        <f t="shared" si="18"/>
        <v>1319.9590000000001</v>
      </c>
      <c r="B206">
        <v>3208</v>
      </c>
      <c r="C206" s="1">
        <v>38</v>
      </c>
      <c r="D206" s="1">
        <v>95</v>
      </c>
      <c r="E206" s="1">
        <v>31.5</v>
      </c>
      <c r="F206" s="1">
        <v>117</v>
      </c>
      <c r="G206" s="1"/>
      <c r="H206" s="1"/>
      <c r="I206">
        <v>87.442999999999998</v>
      </c>
      <c r="J206">
        <v>35.347999999999999</v>
      </c>
      <c r="K206" s="1">
        <f t="shared" si="28"/>
        <v>-90</v>
      </c>
      <c r="L206" s="1">
        <f>12/18.5*180+180*0</f>
        <v>116.75675675675676</v>
      </c>
      <c r="N206" s="1"/>
      <c r="O206" s="1">
        <v>4.8000000000000001E-2</v>
      </c>
      <c r="P206">
        <f t="shared" si="22"/>
        <v>89.085770703244037</v>
      </c>
      <c r="Q206">
        <f t="shared" si="23"/>
        <v>89.456309846699853</v>
      </c>
      <c r="R206" t="e">
        <f t="shared" si="24"/>
        <v>#NUM!</v>
      </c>
      <c r="V206">
        <f t="shared" si="25"/>
        <v>44.689605637766618</v>
      </c>
      <c r="W206">
        <f t="shared" si="26"/>
        <v>66.689605637766221</v>
      </c>
      <c r="X206">
        <f t="shared" si="27"/>
        <v>-50.310394362233524</v>
      </c>
    </row>
    <row r="207" spans="1:24">
      <c r="A207">
        <f t="shared" si="18"/>
        <v>1320.4590000000001</v>
      </c>
      <c r="B207">
        <v>3296</v>
      </c>
      <c r="C207" s="1">
        <v>39</v>
      </c>
      <c r="D207" s="1">
        <v>0</v>
      </c>
      <c r="E207" s="1">
        <v>33.5</v>
      </c>
      <c r="F207" s="1">
        <v>23</v>
      </c>
      <c r="G207" s="1"/>
      <c r="H207" s="1"/>
      <c r="I207">
        <v>86.679000000000002</v>
      </c>
      <c r="J207">
        <v>40.445</v>
      </c>
      <c r="K207" s="1">
        <f t="shared" si="28"/>
        <v>-94</v>
      </c>
      <c r="L207" s="1">
        <f>3/18*180+180*0</f>
        <v>30</v>
      </c>
      <c r="N207" s="1"/>
      <c r="O207" s="1">
        <v>0.13600000000000001</v>
      </c>
      <c r="P207">
        <f t="shared" si="22"/>
        <v>89.223390911437832</v>
      </c>
      <c r="Q207">
        <f t="shared" si="23"/>
        <v>89.902994911644754</v>
      </c>
      <c r="R207" t="e">
        <f t="shared" si="24"/>
        <v>#NUM!</v>
      </c>
      <c r="V207">
        <f t="shared" si="25"/>
        <v>42.124981353516233</v>
      </c>
      <c r="W207">
        <f t="shared" si="26"/>
        <v>65.124981353515992</v>
      </c>
      <c r="X207">
        <f t="shared" si="27"/>
        <v>42.124981353516233</v>
      </c>
    </row>
    <row r="208" spans="1:24">
      <c r="A208">
        <f t="shared" si="18"/>
        <v>1320.9590000000001</v>
      </c>
      <c r="B208">
        <v>3386</v>
      </c>
      <c r="C208" s="1">
        <v>39</v>
      </c>
      <c r="D208" s="1">
        <v>265</v>
      </c>
      <c r="E208" s="1">
        <v>34.5</v>
      </c>
      <c r="F208" s="1">
        <v>285</v>
      </c>
      <c r="G208" s="1"/>
      <c r="H208" s="1"/>
      <c r="I208">
        <v>86.683000000000007</v>
      </c>
      <c r="J208">
        <v>41.817999999999998</v>
      </c>
      <c r="K208" s="1">
        <f t="shared" si="28"/>
        <v>-98</v>
      </c>
      <c r="L208" s="1">
        <f>10.5/18*180+180*1</f>
        <v>285</v>
      </c>
      <c r="N208" s="1"/>
      <c r="O208" s="1">
        <v>0.22476190476190477</v>
      </c>
      <c r="P208">
        <f t="shared" si="22"/>
        <v>89.134629006675922</v>
      </c>
      <c r="Q208">
        <f t="shared" si="23"/>
        <v>90.06971876761142</v>
      </c>
      <c r="R208" t="e">
        <f t="shared" si="24"/>
        <v>#NUM!</v>
      </c>
      <c r="V208">
        <f t="shared" si="25"/>
        <v>41.661161062805121</v>
      </c>
      <c r="W208">
        <f t="shared" si="26"/>
        <v>61.66116106280505</v>
      </c>
      <c r="X208">
        <f t="shared" si="27"/>
        <v>136.66116106280526</v>
      </c>
    </row>
    <row r="209" spans="1:24">
      <c r="A209">
        <f t="shared" si="18"/>
        <v>1321.4590000000001</v>
      </c>
      <c r="B209">
        <v>3480</v>
      </c>
      <c r="C209" s="1">
        <v>39</v>
      </c>
      <c r="D209" s="1">
        <v>170</v>
      </c>
      <c r="E209" s="1">
        <v>34</v>
      </c>
      <c r="F209" s="1">
        <v>185</v>
      </c>
      <c r="G209" s="1"/>
      <c r="H209" s="1"/>
      <c r="I209">
        <v>86.918000000000006</v>
      </c>
      <c r="J209">
        <v>33.642000000000003</v>
      </c>
      <c r="K209" s="1">
        <f t="shared" si="28"/>
        <v>-100</v>
      </c>
      <c r="L209" s="1">
        <f>0.5/17.5*180+180*1</f>
        <v>185.14285714285714</v>
      </c>
      <c r="N209" s="1"/>
      <c r="O209" s="1">
        <v>0.31428571428571428</v>
      </c>
      <c r="P209">
        <f t="shared" si="22"/>
        <v>89.045105197152111</v>
      </c>
      <c r="Q209">
        <f t="shared" si="23"/>
        <v>89.85339139746722</v>
      </c>
      <c r="R209" t="e">
        <f t="shared" si="24"/>
        <v>#NUM!</v>
      </c>
      <c r="V209">
        <f t="shared" si="25"/>
        <v>45.398948759173194</v>
      </c>
      <c r="W209">
        <f t="shared" si="26"/>
        <v>60.398948759173621</v>
      </c>
      <c r="X209">
        <f t="shared" si="27"/>
        <v>-124.60105124082652</v>
      </c>
    </row>
    <row r="210" spans="1:24">
      <c r="A210">
        <f t="shared" si="18"/>
        <v>1321.9590000000001</v>
      </c>
      <c r="B210">
        <v>3574</v>
      </c>
      <c r="C210" s="1">
        <v>37</v>
      </c>
      <c r="D210" s="1">
        <v>70</v>
      </c>
      <c r="E210" s="1">
        <v>32.5</v>
      </c>
      <c r="F210" s="1">
        <v>79</v>
      </c>
      <c r="G210" s="1"/>
      <c r="H210" s="1"/>
      <c r="I210">
        <v>87.231999999999999</v>
      </c>
      <c r="J210">
        <v>24.803999999999998</v>
      </c>
      <c r="K210" s="1">
        <f t="shared" si="28"/>
        <v>-106</v>
      </c>
      <c r="L210" s="1">
        <f>7.5/17*180+180*0</f>
        <v>79.411764705882348</v>
      </c>
      <c r="N210" s="1"/>
      <c r="O210" s="1">
        <v>0.40521739130434786</v>
      </c>
      <c r="P210">
        <f t="shared" si="22"/>
        <v>88.496915860943403</v>
      </c>
      <c r="Q210">
        <f t="shared" si="23"/>
        <v>89.370548599180978</v>
      </c>
      <c r="R210" t="e">
        <f t="shared" si="24"/>
        <v>#NUM!</v>
      </c>
      <c r="V210">
        <f t="shared" si="25"/>
        <v>44.136736455541765</v>
      </c>
      <c r="W210">
        <f t="shared" si="26"/>
        <v>53.136736455541893</v>
      </c>
      <c r="X210">
        <f t="shared" si="27"/>
        <v>-25.863263544458306</v>
      </c>
    </row>
    <row r="211" spans="1:24">
      <c r="A211">
        <f t="shared" si="18"/>
        <v>1322.4590000000001</v>
      </c>
      <c r="B211">
        <v>3672</v>
      </c>
      <c r="C211" s="1">
        <v>36</v>
      </c>
      <c r="D211" s="1">
        <v>330</v>
      </c>
      <c r="E211" s="1">
        <v>32.5</v>
      </c>
      <c r="F211" s="1">
        <v>334</v>
      </c>
      <c r="G211" s="1"/>
      <c r="H211" s="1"/>
      <c r="I211">
        <v>87.685000000000002</v>
      </c>
      <c r="J211">
        <v>15.01</v>
      </c>
      <c r="K211" s="1">
        <f t="shared" si="28"/>
        <v>-105</v>
      </c>
      <c r="L211" s="1">
        <f>15/16.5*180+180*1</f>
        <v>343.63636363636363</v>
      </c>
      <c r="N211" s="1"/>
      <c r="O211" s="1">
        <v>0.53304347826086951</v>
      </c>
      <c r="P211">
        <f t="shared" si="22"/>
        <v>88.13110530799274</v>
      </c>
      <c r="Q211">
        <f t="shared" si="23"/>
        <v>89.242722512224461</v>
      </c>
      <c r="R211" t="e">
        <f t="shared" si="24"/>
        <v>#NUM!</v>
      </c>
      <c r="V211">
        <f t="shared" si="25"/>
        <v>47.076132138989522</v>
      </c>
      <c r="W211">
        <f t="shared" si="26"/>
        <v>51.076132138989507</v>
      </c>
      <c r="X211">
        <f t="shared" si="27"/>
        <v>77.076132138989735</v>
      </c>
    </row>
    <row r="212" spans="1:24">
      <c r="A212">
        <f t="shared" ref="A212:A274" si="29">+A211+0.5</f>
        <v>1322.9590000000001</v>
      </c>
      <c r="B212">
        <v>3772</v>
      </c>
      <c r="C212" s="1">
        <v>35.5</v>
      </c>
      <c r="D212" s="1">
        <v>220</v>
      </c>
      <c r="E212" s="1">
        <v>33</v>
      </c>
      <c r="F212" s="1">
        <v>224</v>
      </c>
      <c r="G212" s="1"/>
      <c r="H212" s="1"/>
      <c r="I212">
        <v>86.977999999999994</v>
      </c>
      <c r="J212">
        <v>10.864000000000001</v>
      </c>
      <c r="K212" s="1">
        <f t="shared" si="28"/>
        <v>-110</v>
      </c>
      <c r="L212" s="1">
        <f>3.8/15.75*180+180*1</f>
        <v>223.42857142857142</v>
      </c>
      <c r="N212" s="1"/>
      <c r="O212" s="1">
        <v>0.66347826086956518</v>
      </c>
      <c r="P212">
        <f t="shared" si="22"/>
        <v>87.879187571140164</v>
      </c>
      <c r="Q212">
        <f t="shared" si="23"/>
        <v>89.244899307596029</v>
      </c>
      <c r="R212" t="e">
        <f t="shared" si="24"/>
        <v>#NUM!</v>
      </c>
      <c r="V212">
        <f t="shared" si="25"/>
        <v>42.116331815977546</v>
      </c>
      <c r="W212">
        <f t="shared" si="26"/>
        <v>46.116331815977532</v>
      </c>
      <c r="X212">
        <f t="shared" si="27"/>
        <v>-177.88366818402233</v>
      </c>
    </row>
    <row r="213" spans="1:24">
      <c r="A213">
        <f t="shared" si="29"/>
        <v>1323.4590000000001</v>
      </c>
      <c r="B213">
        <v>3876</v>
      </c>
      <c r="C213" s="1">
        <v>35</v>
      </c>
      <c r="D213" s="1">
        <v>100</v>
      </c>
      <c r="E213" s="1">
        <v>29.5</v>
      </c>
      <c r="F213" s="1">
        <v>114</v>
      </c>
      <c r="G213" s="1"/>
      <c r="H213" s="1"/>
      <c r="I213">
        <v>87.21</v>
      </c>
      <c r="J213">
        <v>11.01</v>
      </c>
      <c r="K213" s="1">
        <f t="shared" si="28"/>
        <v>-110</v>
      </c>
      <c r="L213" s="1">
        <f>9.5/15.5*180+180*0</f>
        <v>110.3225806451613</v>
      </c>
      <c r="N213" s="1"/>
      <c r="O213" s="1">
        <v>0.7</v>
      </c>
      <c r="P213">
        <f t="shared" si="22"/>
        <v>87.719459657913362</v>
      </c>
      <c r="Q213">
        <f t="shared" si="23"/>
        <v>88.234539090471102</v>
      </c>
      <c r="R213" t="e">
        <f t="shared" si="24"/>
        <v>#NUM!</v>
      </c>
      <c r="V213">
        <f t="shared" si="25"/>
        <v>31.358139480045111</v>
      </c>
      <c r="W213">
        <f t="shared" si="26"/>
        <v>45.358139480044741</v>
      </c>
      <c r="X213">
        <f t="shared" si="27"/>
        <v>-68.641860519955173</v>
      </c>
    </row>
    <row r="214" spans="1:24">
      <c r="A214">
        <f t="shared" si="29"/>
        <v>1323.9590000000001</v>
      </c>
      <c r="B214">
        <v>3982</v>
      </c>
      <c r="C214" s="1">
        <v>35</v>
      </c>
      <c r="D214" s="1">
        <v>340</v>
      </c>
      <c r="E214" s="1">
        <v>28</v>
      </c>
      <c r="F214" s="1">
        <v>4</v>
      </c>
      <c r="G214" s="1"/>
      <c r="H214" s="1"/>
      <c r="I214">
        <v>87.858000000000004</v>
      </c>
      <c r="J214">
        <v>7.8826999999999998</v>
      </c>
      <c r="K214" s="1">
        <f t="shared" si="28"/>
        <v>-110</v>
      </c>
      <c r="L214" s="1">
        <f>0.5/15*180+180*0</f>
        <v>6</v>
      </c>
      <c r="N214" s="1"/>
      <c r="O214" s="1">
        <v>0.7</v>
      </c>
      <c r="P214">
        <f t="shared" si="22"/>
        <v>87.719459657913362</v>
      </c>
      <c r="Q214">
        <f t="shared" si="23"/>
        <v>87.781259397752223</v>
      </c>
      <c r="R214" t="e">
        <f t="shared" si="24"/>
        <v>#NUM!</v>
      </c>
      <c r="V214">
        <f t="shared" si="25"/>
        <v>22.700751137651949</v>
      </c>
      <c r="W214">
        <f t="shared" si="26"/>
        <v>46.700751137651864</v>
      </c>
      <c r="X214">
        <f t="shared" si="27"/>
        <v>42.700751137651878</v>
      </c>
    </row>
    <row r="215" spans="1:24">
      <c r="A215">
        <f t="shared" si="29"/>
        <v>1324.4590000000001</v>
      </c>
      <c r="B215">
        <v>4092</v>
      </c>
      <c r="C215" s="1">
        <v>35</v>
      </c>
      <c r="D215" s="1">
        <v>230</v>
      </c>
      <c r="E215" s="1">
        <v>29</v>
      </c>
      <c r="F215" s="1">
        <v>254</v>
      </c>
      <c r="G215" s="1"/>
      <c r="H215" s="1"/>
      <c r="I215">
        <v>88.326999999999998</v>
      </c>
      <c r="J215">
        <v>5.8677999999999999</v>
      </c>
      <c r="K215" s="1">
        <f t="shared" si="28"/>
        <v>-110</v>
      </c>
      <c r="L215" s="1">
        <f>6.5/14.5*180+180*1</f>
        <v>260.68965517241378</v>
      </c>
      <c r="N215" s="1"/>
      <c r="O215" s="1">
        <v>0.7208</v>
      </c>
      <c r="P215">
        <f t="shared" ref="P215:P274" si="30">20*LOG(P$12*$C215/0.00002)-$N215-$O215+P$4</f>
        <v>87.698659657913367</v>
      </c>
      <c r="Q215">
        <f t="shared" ref="Q215:Q274" si="31">20*LOG(Q$12*$E215/0.00002)-$N215-$O215+Q$4</f>
        <v>88.065258728886974</v>
      </c>
      <c r="R215" t="e">
        <f t="shared" ref="R215:R274" si="32">20*LOG(R$12*$G215/0.00002)-$N215-$O215+R$4</f>
        <v>#NUM!</v>
      </c>
      <c r="V215">
        <f t="shared" ref="V215:V230" si="33">(D215/360+V$4/V$5*$B215+0.5*V$6-INT(D215/360+V$4/V$5*$B215+0.5*V$6)+IF(D215/360+V$4/V$5*$B215+0.5*V$6-INT(D215/360+V$4/V$5*$B215+0.5*V$6)&gt;0.5,-1,0))*360</f>
        <v>28.244970782338257</v>
      </c>
      <c r="W215">
        <f t="shared" ref="W215:W230" si="34">(F215/360+W$4/W$5*$B215+0.5*W$6-INT(F215/360+W$4/W$5*$B215+0.5*W$6)+IF(F215/360+W$4/W$5*$B215+0.5*W$6-INT(F215/360+W$4/W$5*$B215+0.5*W$6)&gt;0.5,-1,0))*360</f>
        <v>52.244970782338171</v>
      </c>
      <c r="X215">
        <f t="shared" ref="X215:X230" si="35">(H215/360+X$4/X$5*$B215+0.5*X$6-INT(H215/360+X$4/X$5*$B215+0.5*X$6)+IF(H215/360+X$4/X$5*$B215+0.5*X$6-INT(H215/360+X$4/X$5*$B215+0.5*X$6)&gt;0.5,-1,0))*360</f>
        <v>158.2449707823381</v>
      </c>
    </row>
    <row r="216" spans="1:24">
      <c r="A216">
        <f t="shared" si="29"/>
        <v>1324.9590000000001</v>
      </c>
      <c r="B216">
        <v>4202</v>
      </c>
      <c r="C216" s="1">
        <v>37</v>
      </c>
      <c r="D216" s="1">
        <v>110</v>
      </c>
      <c r="E216" s="1">
        <v>33</v>
      </c>
      <c r="F216" s="1">
        <v>143</v>
      </c>
      <c r="G216" s="1"/>
      <c r="H216" s="1"/>
      <c r="I216">
        <v>88.162999999999997</v>
      </c>
      <c r="J216">
        <v>-0.49199999999999999</v>
      </c>
      <c r="K216" s="1">
        <f t="shared" ref="K216:K230" si="36">+F216-F215+IF(+F216-F215&gt;0,-360,0)</f>
        <v>-111</v>
      </c>
      <c r="L216" s="1">
        <f>11.5/14*180+180*0</f>
        <v>147.85714285714286</v>
      </c>
      <c r="N216" s="1"/>
      <c r="O216" s="1">
        <v>0.76480000000000004</v>
      </c>
      <c r="P216">
        <f t="shared" si="30"/>
        <v>88.137333252247757</v>
      </c>
      <c r="Q216">
        <f t="shared" si="31"/>
        <v>89.143577568465602</v>
      </c>
      <c r="R216" t="e">
        <f t="shared" si="32"/>
        <v>#NUM!</v>
      </c>
      <c r="V216">
        <f t="shared" si="33"/>
        <v>23.78919042702492</v>
      </c>
      <c r="W216">
        <f t="shared" si="34"/>
        <v>56.789190427024963</v>
      </c>
      <c r="X216">
        <f t="shared" si="35"/>
        <v>-86.210809572975009</v>
      </c>
    </row>
    <row r="217" spans="1:24">
      <c r="A217">
        <f t="shared" si="29"/>
        <v>1325.4590000000001</v>
      </c>
      <c r="B217">
        <v>4318</v>
      </c>
      <c r="C217" s="1">
        <v>36</v>
      </c>
      <c r="D217" s="1">
        <v>340</v>
      </c>
      <c r="E217" s="1">
        <v>33</v>
      </c>
      <c r="F217" s="1">
        <v>18</v>
      </c>
      <c r="G217" s="1"/>
      <c r="H217" s="1"/>
      <c r="I217">
        <v>87.817999999999998</v>
      </c>
      <c r="J217">
        <v>-7.0810000000000004</v>
      </c>
      <c r="K217" s="1">
        <f t="shared" si="36"/>
        <v>-125</v>
      </c>
      <c r="L217" s="1">
        <f>1/14*180+180*0</f>
        <v>12.857142857142856</v>
      </c>
      <c r="N217" s="1"/>
      <c r="O217" s="1">
        <v>0.81</v>
      </c>
      <c r="P217">
        <f t="shared" si="30"/>
        <v>87.854148786253603</v>
      </c>
      <c r="Q217">
        <f t="shared" si="31"/>
        <v>89.098377568465594</v>
      </c>
      <c r="R217" t="e">
        <f t="shared" si="32"/>
        <v>#NUM!</v>
      </c>
      <c r="V217">
        <f t="shared" si="33"/>
        <v>15.635822052331037</v>
      </c>
      <c r="W217">
        <f t="shared" si="34"/>
        <v>53.635822052331221</v>
      </c>
      <c r="X217">
        <f t="shared" si="35"/>
        <v>35.635822052330965</v>
      </c>
    </row>
    <row r="218" spans="1:24">
      <c r="A218">
        <f t="shared" si="29"/>
        <v>1325.9590000000001</v>
      </c>
      <c r="B218">
        <v>4436</v>
      </c>
      <c r="C218" s="1">
        <v>35.5</v>
      </c>
      <c r="D218" s="1">
        <v>220</v>
      </c>
      <c r="E218" s="1">
        <v>33.5</v>
      </c>
      <c r="F218" s="1">
        <v>250</v>
      </c>
      <c r="G218" s="1"/>
      <c r="H218" s="1"/>
      <c r="I218">
        <v>87.21</v>
      </c>
      <c r="J218">
        <v>-9.173</v>
      </c>
      <c r="K218" s="1">
        <f t="shared" si="36"/>
        <v>-128</v>
      </c>
      <c r="L218" s="1">
        <f>5.5/13.5*180+180*1</f>
        <v>253.33333333333331</v>
      </c>
      <c r="N218" s="1"/>
      <c r="O218" s="1">
        <v>0.8521428571428572</v>
      </c>
      <c r="P218">
        <f t="shared" si="30"/>
        <v>87.69052297486688</v>
      </c>
      <c r="Q218">
        <f t="shared" si="31"/>
        <v>89.186852054501898</v>
      </c>
      <c r="R218" t="e">
        <f t="shared" si="32"/>
        <v>#NUM!</v>
      </c>
      <c r="V218">
        <f t="shared" si="33"/>
        <v>19.583257671176071</v>
      </c>
      <c r="W218">
        <f t="shared" si="34"/>
        <v>49.583257671176284</v>
      </c>
      <c r="X218">
        <f t="shared" si="35"/>
        <v>159.58325767117623</v>
      </c>
    </row>
    <row r="219" spans="1:24">
      <c r="A219">
        <f t="shared" si="29"/>
        <v>1326.4590000000001</v>
      </c>
      <c r="B219">
        <v>4558</v>
      </c>
      <c r="C219" s="1">
        <v>36</v>
      </c>
      <c r="D219" s="1">
        <v>100</v>
      </c>
      <c r="E219" s="1">
        <v>34</v>
      </c>
      <c r="F219" s="1">
        <v>116</v>
      </c>
      <c r="G219" s="1"/>
      <c r="H219" s="1"/>
      <c r="I219">
        <v>87.39</v>
      </c>
      <c r="J219">
        <v>-4.9610000000000003</v>
      </c>
      <c r="K219" s="1">
        <f t="shared" si="36"/>
        <v>-134</v>
      </c>
      <c r="L219" s="1">
        <f>8.5/13.25*180+180*0</f>
        <v>115.47169811320754</v>
      </c>
      <c r="N219" s="1"/>
      <c r="O219" s="1">
        <v>0.89571428571428569</v>
      </c>
      <c r="P219">
        <f t="shared" si="30"/>
        <v>87.768434500539314</v>
      </c>
      <c r="Q219">
        <f t="shared" si="31"/>
        <v>89.271962826038646</v>
      </c>
      <c r="R219" t="e">
        <f t="shared" si="32"/>
        <v>#NUM!</v>
      </c>
      <c r="V219">
        <f t="shared" si="33"/>
        <v>27.73230127710157</v>
      </c>
      <c r="W219">
        <f t="shared" si="34"/>
        <v>43.732301277101513</v>
      </c>
      <c r="X219">
        <f t="shared" si="35"/>
        <v>-72.267698722898714</v>
      </c>
    </row>
    <row r="220" spans="1:24">
      <c r="A220">
        <f t="shared" si="29"/>
        <v>1326.9590000000001</v>
      </c>
      <c r="B220">
        <v>4682</v>
      </c>
      <c r="C220" s="1">
        <v>33</v>
      </c>
      <c r="D220" s="1">
        <v>330</v>
      </c>
      <c r="E220" s="1">
        <v>31</v>
      </c>
      <c r="F220" s="1">
        <v>343</v>
      </c>
      <c r="G220" s="1"/>
      <c r="H220" s="1"/>
      <c r="I220">
        <v>87.5</v>
      </c>
      <c r="J220">
        <v>-14.08</v>
      </c>
      <c r="K220" s="1">
        <f t="shared" si="36"/>
        <v>-133</v>
      </c>
      <c r="L220" s="1">
        <f>11.8/13*180+180*1</f>
        <v>343.38461538461542</v>
      </c>
      <c r="N220" s="1"/>
      <c r="O220" s="1">
        <v>1.0158620689655173</v>
      </c>
      <c r="P220">
        <f t="shared" si="30"/>
        <v>86.892515499500078</v>
      </c>
      <c r="Q220">
        <f t="shared" si="31"/>
        <v>88.349470578627788</v>
      </c>
      <c r="R220" t="e">
        <f t="shared" si="32"/>
        <v>#NUM!</v>
      </c>
      <c r="V220">
        <f t="shared" si="33"/>
        <v>27.982148876566058</v>
      </c>
      <c r="W220">
        <f t="shared" si="34"/>
        <v>40.982148876566171</v>
      </c>
      <c r="X220">
        <f t="shared" si="35"/>
        <v>57.982148876566271</v>
      </c>
    </row>
    <row r="221" spans="1:24">
      <c r="A221">
        <f t="shared" si="29"/>
        <v>1327.4590000000001</v>
      </c>
      <c r="B221">
        <v>4810</v>
      </c>
      <c r="C221" s="1">
        <v>33</v>
      </c>
      <c r="D221" s="1">
        <v>200</v>
      </c>
      <c r="E221" s="1">
        <v>28</v>
      </c>
      <c r="F221" s="1">
        <v>208</v>
      </c>
      <c r="G221" s="1"/>
      <c r="H221" s="1"/>
      <c r="I221">
        <v>87.632000000000005</v>
      </c>
      <c r="J221">
        <v>-29.58</v>
      </c>
      <c r="K221" s="1">
        <f t="shared" si="36"/>
        <v>-135</v>
      </c>
      <c r="L221" s="1">
        <f>2/12.5*180+180*1</f>
        <v>208.8</v>
      </c>
      <c r="N221" s="1"/>
      <c r="O221" s="1">
        <v>1.1482758620689655</v>
      </c>
      <c r="P221">
        <f t="shared" si="30"/>
        <v>86.760101706396625</v>
      </c>
      <c r="Q221">
        <f t="shared" si="31"/>
        <v>87.332983535683255</v>
      </c>
      <c r="R221" t="e">
        <f t="shared" si="32"/>
        <v>#NUM!</v>
      </c>
      <c r="V221">
        <f t="shared" si="33"/>
        <v>32.43360446311037</v>
      </c>
      <c r="W221">
        <f t="shared" si="34"/>
        <v>40.433604463110342</v>
      </c>
      <c r="X221">
        <f t="shared" si="35"/>
        <v>-167.56639553688956</v>
      </c>
    </row>
    <row r="222" spans="1:24">
      <c r="A222">
        <f t="shared" si="29"/>
        <v>1327.9590000000001</v>
      </c>
      <c r="B222">
        <v>4942</v>
      </c>
      <c r="C222" s="1">
        <v>33</v>
      </c>
      <c r="D222" s="1">
        <v>60</v>
      </c>
      <c r="E222" s="1">
        <v>28</v>
      </c>
      <c r="F222" s="1">
        <v>72</v>
      </c>
      <c r="G222" s="1"/>
      <c r="H222" s="1"/>
      <c r="I222">
        <v>87.61</v>
      </c>
      <c r="J222">
        <v>-39.94</v>
      </c>
      <c r="K222" s="1">
        <f t="shared" si="36"/>
        <v>-136</v>
      </c>
      <c r="L222" s="1">
        <f>5/12.5*180+180*0</f>
        <v>72</v>
      </c>
      <c r="N222" s="1"/>
      <c r="O222" s="1">
        <v>1.2546666666666666</v>
      </c>
      <c r="P222">
        <f t="shared" si="30"/>
        <v>86.653710901798931</v>
      </c>
      <c r="Q222">
        <f t="shared" si="31"/>
        <v>87.22659273108556</v>
      </c>
      <c r="R222" t="e">
        <f t="shared" si="32"/>
        <v>#NUM!</v>
      </c>
      <c r="V222">
        <f t="shared" si="33"/>
        <v>31.086668036734224</v>
      </c>
      <c r="W222">
        <f t="shared" si="34"/>
        <v>43.086668036734181</v>
      </c>
      <c r="X222">
        <f t="shared" si="35"/>
        <v>-28.913331963265563</v>
      </c>
    </row>
    <row r="223" spans="1:24">
      <c r="A223">
        <f t="shared" si="29"/>
        <v>1328.4590000000001</v>
      </c>
      <c r="B223">
        <v>5078</v>
      </c>
      <c r="C223" s="1">
        <v>35</v>
      </c>
      <c r="D223" s="1">
        <v>280</v>
      </c>
      <c r="E223" s="1">
        <v>30</v>
      </c>
      <c r="F223" s="1">
        <v>295</v>
      </c>
      <c r="G223" s="1"/>
      <c r="H223" s="1"/>
      <c r="I223">
        <v>87.68</v>
      </c>
      <c r="J223">
        <v>-35.549999999999997</v>
      </c>
      <c r="K223" s="1">
        <f t="shared" si="36"/>
        <v>-137</v>
      </c>
      <c r="L223" s="1">
        <f>8/12*180+180*1</f>
        <v>300</v>
      </c>
      <c r="N223" s="1"/>
      <c r="O223" s="1">
        <v>1.3453333333333333</v>
      </c>
      <c r="P223">
        <f t="shared" si="30"/>
        <v>87.074126324580035</v>
      </c>
      <c r="Q223">
        <f t="shared" si="31"/>
        <v>87.73519053196776</v>
      </c>
      <c r="R223" t="e">
        <f t="shared" si="32"/>
        <v>#NUM!</v>
      </c>
      <c r="V223">
        <f t="shared" si="33"/>
        <v>33.941339597437263</v>
      </c>
      <c r="W223">
        <f t="shared" si="34"/>
        <v>48.94133959743769</v>
      </c>
      <c r="X223">
        <f t="shared" si="35"/>
        <v>113.94133959743762</v>
      </c>
    </row>
    <row r="224" spans="1:24">
      <c r="A224">
        <f t="shared" si="29"/>
        <v>1328.9590000000001</v>
      </c>
      <c r="B224">
        <v>5216</v>
      </c>
      <c r="C224" s="1">
        <v>39</v>
      </c>
      <c r="D224" s="1">
        <v>130</v>
      </c>
      <c r="E224" s="1">
        <v>33.5</v>
      </c>
      <c r="F224" s="1">
        <v>155</v>
      </c>
      <c r="G224" s="1"/>
      <c r="H224" s="1"/>
      <c r="I224">
        <v>88.204999999999998</v>
      </c>
      <c r="J224">
        <v>-33.36</v>
      </c>
      <c r="K224" s="1">
        <f t="shared" si="36"/>
        <v>-140</v>
      </c>
      <c r="L224" s="1">
        <f>10/11.5*180+180*0</f>
        <v>156.52173913043478</v>
      </c>
      <c r="N224" s="1"/>
      <c r="O224" s="1">
        <v>1.416969696969697</v>
      </c>
      <c r="P224">
        <f t="shared" si="30"/>
        <v>87.942421214468126</v>
      </c>
      <c r="Q224">
        <f t="shared" si="31"/>
        <v>88.622025214675048</v>
      </c>
      <c r="R224" t="e">
        <f t="shared" si="32"/>
        <v>#NUM!</v>
      </c>
      <c r="V224">
        <f t="shared" si="33"/>
        <v>28.89681515168121</v>
      </c>
      <c r="W224">
        <f t="shared" si="34"/>
        <v>53.896815151680642</v>
      </c>
      <c r="X224">
        <f t="shared" si="35"/>
        <v>-101.10318484831929</v>
      </c>
    </row>
    <row r="225" spans="1:24">
      <c r="A225">
        <f t="shared" si="29"/>
        <v>1329.4590000000001</v>
      </c>
      <c r="B225">
        <v>5360</v>
      </c>
      <c r="C225" s="1">
        <v>39</v>
      </c>
      <c r="D225" s="1">
        <v>330</v>
      </c>
      <c r="E225" s="1">
        <v>35</v>
      </c>
      <c r="F225" s="1">
        <v>0</v>
      </c>
      <c r="G225" s="1"/>
      <c r="H225" s="1"/>
      <c r="I225">
        <v>88.331999999999994</v>
      </c>
      <c r="J225">
        <v>-42.24</v>
      </c>
      <c r="K225" s="1">
        <f t="shared" si="36"/>
        <v>-155</v>
      </c>
      <c r="L225" s="1">
        <f>0/11.5*180+180*0</f>
        <v>0</v>
      </c>
      <c r="N225" s="1"/>
      <c r="O225" s="1">
        <v>1.4606060606060605</v>
      </c>
      <c r="P225">
        <f t="shared" si="30"/>
        <v>87.898784850831774</v>
      </c>
      <c r="Q225">
        <f t="shared" si="31"/>
        <v>88.958853597307296</v>
      </c>
      <c r="R225" t="e">
        <f t="shared" si="32"/>
        <v>#NUM!</v>
      </c>
      <c r="V225">
        <f t="shared" si="33"/>
        <v>20.154702686542691</v>
      </c>
      <c r="W225">
        <f t="shared" si="34"/>
        <v>50.154702686543544</v>
      </c>
      <c r="X225">
        <f t="shared" si="35"/>
        <v>50.154702686543544</v>
      </c>
    </row>
    <row r="226" spans="1:24">
      <c r="A226">
        <f t="shared" si="29"/>
        <v>1329.9590000000001</v>
      </c>
      <c r="B226">
        <v>5506</v>
      </c>
      <c r="C226" s="1">
        <v>37</v>
      </c>
      <c r="D226" s="1">
        <v>180</v>
      </c>
      <c r="E226" s="1">
        <v>36.5</v>
      </c>
      <c r="F226" s="1">
        <v>198</v>
      </c>
      <c r="G226" s="1"/>
      <c r="H226" s="1"/>
      <c r="I226">
        <v>88.070999999999998</v>
      </c>
      <c r="J226">
        <v>-42.58</v>
      </c>
      <c r="K226" s="1">
        <f t="shared" si="36"/>
        <v>-162</v>
      </c>
      <c r="L226" s="1">
        <f>1/11*180+180*1</f>
        <v>196.36363636363637</v>
      </c>
      <c r="N226" s="1"/>
      <c r="O226" s="1">
        <v>1.5091428571428571</v>
      </c>
      <c r="P226">
        <f t="shared" si="30"/>
        <v>87.392990395104889</v>
      </c>
      <c r="Q226">
        <f t="shared" si="31"/>
        <v>89.274813202894464</v>
      </c>
      <c r="R226" t="e">
        <f t="shared" si="32"/>
        <v>#NUM!</v>
      </c>
      <c r="V226">
        <f t="shared" si="33"/>
        <v>23.513394214945009</v>
      </c>
      <c r="W226">
        <f t="shared" si="34"/>
        <v>41.513394214945265</v>
      </c>
      <c r="X226">
        <f t="shared" si="35"/>
        <v>-156.48660578505499</v>
      </c>
    </row>
    <row r="227" spans="1:24">
      <c r="A227">
        <f t="shared" si="29"/>
        <v>1330.4590000000001</v>
      </c>
      <c r="B227">
        <v>5658</v>
      </c>
      <c r="C227" s="1">
        <v>37</v>
      </c>
      <c r="D227" s="1">
        <v>20</v>
      </c>
      <c r="E227" s="1">
        <v>35</v>
      </c>
      <c r="F227" s="1">
        <v>36</v>
      </c>
      <c r="G227" s="1"/>
      <c r="H227" s="1"/>
      <c r="I227">
        <v>87.876000000000005</v>
      </c>
      <c r="J227">
        <v>-35.090000000000003</v>
      </c>
      <c r="K227" s="1">
        <f t="shared" si="36"/>
        <v>-162</v>
      </c>
      <c r="L227" s="1">
        <f>2/10.5*180+180*0</f>
        <v>34.285714285714285</v>
      </c>
      <c r="N227" s="1"/>
      <c r="O227" s="1">
        <v>1.5960000000000001</v>
      </c>
      <c r="P227">
        <f t="shared" si="30"/>
        <v>87.306133252247747</v>
      </c>
      <c r="Q227">
        <f t="shared" si="31"/>
        <v>88.823459657913347</v>
      </c>
      <c r="R227" t="e">
        <f t="shared" si="32"/>
        <v>#NUM!</v>
      </c>
      <c r="V227">
        <f t="shared" si="33"/>
        <v>23.17449772396742</v>
      </c>
      <c r="W227">
        <f t="shared" si="34"/>
        <v>39.174497723967363</v>
      </c>
      <c r="X227">
        <f t="shared" si="35"/>
        <v>3.1744977239668515</v>
      </c>
    </row>
    <row r="228" spans="1:24">
      <c r="A228">
        <f t="shared" si="29"/>
        <v>1330.9590000000001</v>
      </c>
      <c r="B228">
        <v>5812</v>
      </c>
      <c r="C228" s="1">
        <v>35</v>
      </c>
      <c r="D228" s="1">
        <v>220</v>
      </c>
      <c r="E228" s="1">
        <v>32</v>
      </c>
      <c r="F228" s="1">
        <v>238</v>
      </c>
      <c r="G228" s="1"/>
      <c r="H228" s="1"/>
      <c r="I228">
        <v>88.316999999999993</v>
      </c>
      <c r="J228">
        <v>-30.34</v>
      </c>
      <c r="K228" s="1">
        <f t="shared" si="36"/>
        <v>-158</v>
      </c>
      <c r="L228" s="1">
        <f>4/10*180+180*1</f>
        <v>252</v>
      </c>
      <c r="N228" s="1"/>
      <c r="O228" s="1">
        <v>1.6839999999999999</v>
      </c>
      <c r="P228">
        <f t="shared" si="30"/>
        <v>86.735459657913367</v>
      </c>
      <c r="Q228">
        <f t="shared" si="31"/>
        <v>87.957098337305965</v>
      </c>
      <c r="R228" t="e">
        <f t="shared" si="32"/>
        <v>#NUM!</v>
      </c>
      <c r="V228">
        <f t="shared" si="33"/>
        <v>24.936405226527825</v>
      </c>
      <c r="W228">
        <f t="shared" si="34"/>
        <v>42.93640522652808</v>
      </c>
      <c r="X228">
        <f t="shared" si="35"/>
        <v>164.93640522652797</v>
      </c>
    </row>
    <row r="229" spans="1:24">
      <c r="A229">
        <f t="shared" si="29"/>
        <v>1331.4590000000001</v>
      </c>
      <c r="B229">
        <v>5970</v>
      </c>
      <c r="C229" s="1">
        <v>39</v>
      </c>
      <c r="D229" s="1">
        <v>60</v>
      </c>
      <c r="E229" s="1">
        <v>34</v>
      </c>
      <c r="F229" s="1">
        <v>72</v>
      </c>
      <c r="G229" s="1"/>
      <c r="H229" s="1"/>
      <c r="I229">
        <v>87.852000000000004</v>
      </c>
      <c r="J229">
        <v>-26.84</v>
      </c>
      <c r="K229" s="1">
        <f t="shared" si="36"/>
        <v>-166</v>
      </c>
      <c r="L229" s="1">
        <f>4/10*180+180*0</f>
        <v>72</v>
      </c>
      <c r="N229" s="1"/>
      <c r="O229" s="1">
        <v>1.7351351351351352</v>
      </c>
      <c r="P229">
        <f t="shared" si="30"/>
        <v>87.624255776302689</v>
      </c>
      <c r="Q229">
        <f t="shared" si="31"/>
        <v>88.432541976617799</v>
      </c>
      <c r="R229" t="e">
        <f t="shared" si="32"/>
        <v>#NUM!</v>
      </c>
      <c r="V229">
        <f t="shared" si="33"/>
        <v>30.899920716168054</v>
      </c>
      <c r="W229">
        <f t="shared" si="34"/>
        <v>42.899920716167372</v>
      </c>
      <c r="X229">
        <f t="shared" si="35"/>
        <v>-29.100079283832372</v>
      </c>
    </row>
    <row r="230" spans="1:24">
      <c r="A230">
        <f t="shared" si="29"/>
        <v>1331.9590000000001</v>
      </c>
      <c r="B230">
        <v>6134</v>
      </c>
      <c r="C230" s="1">
        <v>41</v>
      </c>
      <c r="D230" s="1">
        <v>250</v>
      </c>
      <c r="E230" s="1">
        <v>36</v>
      </c>
      <c r="F230" s="1">
        <v>256</v>
      </c>
      <c r="G230" s="1"/>
      <c r="H230" s="1"/>
      <c r="I230">
        <v>87.299000000000007</v>
      </c>
      <c r="J230">
        <v>-14.64</v>
      </c>
      <c r="K230" s="1">
        <f t="shared" si="36"/>
        <v>-176</v>
      </c>
      <c r="L230" s="1">
        <f>4/9.5*180+180*1</f>
        <v>255.78947368421052</v>
      </c>
      <c r="N230" s="1"/>
      <c r="O230" s="1">
        <v>1.7794594594594595</v>
      </c>
      <c r="P230">
        <f t="shared" si="30"/>
        <v>88.014316445843093</v>
      </c>
      <c r="Q230">
        <f t="shared" si="31"/>
        <v>88.884689326794131</v>
      </c>
      <c r="R230" t="e">
        <f t="shared" si="32"/>
        <v>#NUM!</v>
      </c>
      <c r="V230">
        <f t="shared" si="33"/>
        <v>33.165848186427098</v>
      </c>
      <c r="W230">
        <f t="shared" si="34"/>
        <v>39.165848186428036</v>
      </c>
      <c r="X230">
        <f t="shared" si="35"/>
        <v>143.16584818642767</v>
      </c>
    </row>
    <row r="231" spans="1:24">
      <c r="A231">
        <f t="shared" si="29"/>
        <v>1332.4590000000001</v>
      </c>
      <c r="B231">
        <v>6302</v>
      </c>
      <c r="C231" s="1">
        <v>41</v>
      </c>
      <c r="D231" s="1"/>
      <c r="E231" s="1">
        <v>37</v>
      </c>
      <c r="F231" s="1"/>
      <c r="G231" s="1"/>
      <c r="H231" s="1"/>
      <c r="I231">
        <v>87.641000000000005</v>
      </c>
      <c r="J231">
        <v>-2.2349999999999999</v>
      </c>
      <c r="N231" s="1"/>
      <c r="O231" s="1">
        <v>1.7770000000000001</v>
      </c>
      <c r="P231">
        <f t="shared" si="30"/>
        <v>88.016775905302552</v>
      </c>
      <c r="Q231">
        <f t="shared" si="31"/>
        <v>89.125133252247736</v>
      </c>
      <c r="R231" t="e">
        <f t="shared" si="32"/>
        <v>#NUM!</v>
      </c>
    </row>
    <row r="232" spans="1:24">
      <c r="A232">
        <f t="shared" si="29"/>
        <v>1332.9590000000001</v>
      </c>
      <c r="B232">
        <v>6476</v>
      </c>
      <c r="C232" s="1">
        <v>41</v>
      </c>
      <c r="D232" s="1"/>
      <c r="E232" s="1">
        <v>38</v>
      </c>
      <c r="F232" s="1"/>
      <c r="G232" s="1"/>
      <c r="H232" s="1"/>
      <c r="I232">
        <v>87.775000000000006</v>
      </c>
      <c r="J232">
        <v>8.0989000000000004</v>
      </c>
      <c r="N232" s="1"/>
      <c r="O232" s="1">
        <v>1.7335</v>
      </c>
      <c r="P232">
        <f t="shared" si="30"/>
        <v>88.060275905302547</v>
      </c>
      <c r="Q232">
        <f t="shared" si="31"/>
        <v>89.400270703244033</v>
      </c>
      <c r="R232" t="e">
        <f t="shared" si="32"/>
        <v>#NUM!</v>
      </c>
    </row>
    <row r="233" spans="1:24">
      <c r="A233">
        <f t="shared" si="29"/>
        <v>1333.4590000000001</v>
      </c>
      <c r="B233">
        <v>6654</v>
      </c>
      <c r="C233" s="1">
        <v>38</v>
      </c>
      <c r="D233" s="1"/>
      <c r="E233" s="1">
        <v>34</v>
      </c>
      <c r="F233" s="1"/>
      <c r="G233" s="1"/>
      <c r="H233" s="1"/>
      <c r="I233">
        <v>87.488</v>
      </c>
      <c r="J233">
        <v>17.106999999999999</v>
      </c>
      <c r="N233" s="1"/>
      <c r="O233" s="1">
        <v>1.6685714285714286</v>
      </c>
      <c r="P233">
        <f t="shared" si="30"/>
        <v>87.465199274672614</v>
      </c>
      <c r="Q233">
        <f t="shared" si="31"/>
        <v>88.499105683181511</v>
      </c>
      <c r="R233" t="e">
        <f t="shared" si="32"/>
        <v>#NUM!</v>
      </c>
    </row>
    <row r="234" spans="1:24">
      <c r="A234">
        <f t="shared" si="29"/>
        <v>1333.9590000000001</v>
      </c>
      <c r="B234">
        <v>6834</v>
      </c>
      <c r="C234" s="1">
        <v>40</v>
      </c>
      <c r="D234" s="1"/>
      <c r="E234" s="1">
        <v>38</v>
      </c>
      <c r="F234" s="1"/>
      <c r="G234" s="1"/>
      <c r="H234" s="1"/>
      <c r="I234">
        <v>88.106999999999999</v>
      </c>
      <c r="J234">
        <v>12.6</v>
      </c>
      <c r="N234" s="1"/>
      <c r="O234" s="1">
        <v>1.54</v>
      </c>
      <c r="P234">
        <f t="shared" si="30"/>
        <v>88.039298597467095</v>
      </c>
      <c r="Q234">
        <f t="shared" si="31"/>
        <v>89.593770703244033</v>
      </c>
      <c r="R234" t="e">
        <f t="shared" si="32"/>
        <v>#NUM!</v>
      </c>
    </row>
    <row r="235" spans="1:24">
      <c r="A235">
        <f t="shared" si="29"/>
        <v>1334.4590000000001</v>
      </c>
      <c r="B235">
        <v>7022</v>
      </c>
      <c r="C235" s="1">
        <v>39</v>
      </c>
      <c r="D235" s="1"/>
      <c r="E235" s="1">
        <v>33</v>
      </c>
      <c r="F235" s="1"/>
      <c r="G235" s="1"/>
      <c r="H235" s="1"/>
      <c r="I235">
        <v>88.316999999999993</v>
      </c>
      <c r="J235">
        <v>-6.7190000000000003</v>
      </c>
      <c r="N235" s="1"/>
      <c r="O235" s="1">
        <v>1.4057142857142857</v>
      </c>
      <c r="P235">
        <f t="shared" si="30"/>
        <v>87.953676625723546</v>
      </c>
      <c r="Q235">
        <f t="shared" si="31"/>
        <v>88.502663282751314</v>
      </c>
      <c r="R235" t="e">
        <f t="shared" si="32"/>
        <v>#NUM!</v>
      </c>
    </row>
    <row r="236" spans="1:24">
      <c r="A236">
        <f t="shared" si="29"/>
        <v>1334.9590000000001</v>
      </c>
      <c r="B236">
        <v>7214</v>
      </c>
      <c r="C236" s="1">
        <v>37.5</v>
      </c>
      <c r="D236" s="1"/>
      <c r="E236" s="1">
        <v>31</v>
      </c>
      <c r="F236" s="1"/>
      <c r="G236" s="1"/>
      <c r="H236" s="1"/>
      <c r="I236">
        <v>88.227000000000004</v>
      </c>
      <c r="J236">
        <v>-20.32</v>
      </c>
      <c r="N236" s="1"/>
      <c r="O236" s="1">
        <v>1.4836363636363636</v>
      </c>
      <c r="P236">
        <f t="shared" si="30"/>
        <v>87.535087761825864</v>
      </c>
      <c r="Q236">
        <f t="shared" si="31"/>
        <v>87.881696283956941</v>
      </c>
      <c r="R236" t="e">
        <f t="shared" si="32"/>
        <v>#NUM!</v>
      </c>
    </row>
    <row r="237" spans="1:24">
      <c r="A237">
        <f t="shared" si="29"/>
        <v>1335.4590000000001</v>
      </c>
      <c r="B237">
        <v>7412</v>
      </c>
      <c r="C237" s="1">
        <v>36</v>
      </c>
      <c r="D237" s="1"/>
      <c r="E237" s="1">
        <v>29</v>
      </c>
      <c r="F237" s="1"/>
      <c r="G237" s="1"/>
      <c r="H237" s="1"/>
      <c r="I237">
        <v>88.477999999999994</v>
      </c>
      <c r="J237">
        <v>-21.99</v>
      </c>
      <c r="N237" s="1"/>
      <c r="O237" s="1">
        <v>1.5736363636363637</v>
      </c>
      <c r="P237">
        <f t="shared" si="30"/>
        <v>87.090512422617238</v>
      </c>
      <c r="Q237">
        <f t="shared" si="31"/>
        <v>87.212422365250603</v>
      </c>
      <c r="R237" t="e">
        <f t="shared" si="32"/>
        <v>#NUM!</v>
      </c>
    </row>
    <row r="238" spans="1:24">
      <c r="A238">
        <f t="shared" si="29"/>
        <v>1335.9590000000001</v>
      </c>
      <c r="B238">
        <v>7614</v>
      </c>
      <c r="C238" s="1">
        <v>36.5</v>
      </c>
      <c r="D238" s="1"/>
      <c r="E238" s="1">
        <v>32</v>
      </c>
      <c r="F238" s="1"/>
      <c r="G238" s="1"/>
      <c r="H238" s="1"/>
      <c r="I238">
        <v>88.253</v>
      </c>
      <c r="J238">
        <v>-24</v>
      </c>
      <c r="N238" s="1"/>
      <c r="O238" s="1">
        <v>1.69</v>
      </c>
      <c r="P238">
        <f t="shared" si="30"/>
        <v>87.093956060037343</v>
      </c>
      <c r="Q238">
        <f t="shared" si="31"/>
        <v>87.951098337305964</v>
      </c>
      <c r="R238" t="e">
        <f t="shared" si="32"/>
        <v>#NUM!</v>
      </c>
    </row>
    <row r="239" spans="1:24">
      <c r="A239">
        <f t="shared" si="29"/>
        <v>1336.4590000000001</v>
      </c>
      <c r="B239">
        <v>7822</v>
      </c>
      <c r="C239" s="1">
        <v>36</v>
      </c>
      <c r="D239" s="1"/>
      <c r="E239" s="1">
        <v>32</v>
      </c>
      <c r="F239" s="1"/>
      <c r="G239" s="1"/>
      <c r="H239" s="1"/>
      <c r="I239">
        <v>87.875</v>
      </c>
      <c r="J239">
        <v>-29.63</v>
      </c>
      <c r="N239" s="1"/>
      <c r="O239" s="1">
        <v>1.8199999999999998</v>
      </c>
      <c r="P239">
        <f t="shared" si="30"/>
        <v>86.844148786253612</v>
      </c>
      <c r="Q239">
        <f t="shared" si="31"/>
        <v>87.821098337305969</v>
      </c>
      <c r="R239" t="e">
        <f t="shared" si="32"/>
        <v>#NUM!</v>
      </c>
    </row>
    <row r="240" spans="1:24">
      <c r="A240">
        <f t="shared" si="29"/>
        <v>1336.9590000000001</v>
      </c>
      <c r="B240">
        <v>8038</v>
      </c>
      <c r="C240" s="1">
        <v>34</v>
      </c>
      <c r="D240" s="1"/>
      <c r="E240" s="1">
        <v>29</v>
      </c>
      <c r="F240" s="1"/>
      <c r="G240" s="1"/>
      <c r="H240" s="1"/>
      <c r="I240">
        <v>87.977000000000004</v>
      </c>
      <c r="J240">
        <v>-36.89</v>
      </c>
      <c r="N240" s="1"/>
      <c r="O240" s="1">
        <v>1.8823999999999999</v>
      </c>
      <c r="P240">
        <f t="shared" si="30"/>
        <v>86.285277111752947</v>
      </c>
      <c r="Q240">
        <f t="shared" si="31"/>
        <v>86.903658728886967</v>
      </c>
      <c r="R240" t="e">
        <f t="shared" si="32"/>
        <v>#NUM!</v>
      </c>
    </row>
    <row r="241" spans="1:18">
      <c r="A241">
        <f t="shared" si="29"/>
        <v>1337.4590000000001</v>
      </c>
      <c r="B241">
        <v>8258</v>
      </c>
      <c r="C241" s="1">
        <v>34</v>
      </c>
      <c r="D241" s="1"/>
      <c r="E241" s="1">
        <v>28.5</v>
      </c>
      <c r="F241" s="1"/>
      <c r="G241" s="1"/>
      <c r="H241" s="1"/>
      <c r="I241">
        <v>87.759</v>
      </c>
      <c r="J241">
        <v>-43.91</v>
      </c>
      <c r="N241" s="1"/>
      <c r="O241" s="1">
        <v>1.8384</v>
      </c>
      <c r="P241">
        <f t="shared" si="30"/>
        <v>86.329277111752958</v>
      </c>
      <c r="Q241">
        <f t="shared" si="31"/>
        <v>86.796595971078034</v>
      </c>
      <c r="R241" t="e">
        <f t="shared" si="32"/>
        <v>#NUM!</v>
      </c>
    </row>
    <row r="242" spans="1:18">
      <c r="A242">
        <f t="shared" si="29"/>
        <v>1337.9590000000001</v>
      </c>
      <c r="B242">
        <v>8484</v>
      </c>
      <c r="C242" s="1">
        <v>36</v>
      </c>
      <c r="D242" s="1"/>
      <c r="E242" s="1">
        <v>29</v>
      </c>
      <c r="F242" s="1"/>
      <c r="G242" s="1"/>
      <c r="H242" s="1"/>
      <c r="I242">
        <v>87.876000000000005</v>
      </c>
      <c r="J242">
        <v>-50.56</v>
      </c>
      <c r="N242" s="1"/>
      <c r="O242" s="1">
        <v>1.8251851851851852</v>
      </c>
      <c r="P242">
        <f t="shared" si="30"/>
        <v>86.838963601068414</v>
      </c>
      <c r="Q242">
        <f t="shared" si="31"/>
        <v>86.96087354370178</v>
      </c>
      <c r="R242" t="e">
        <f t="shared" si="32"/>
        <v>#NUM!</v>
      </c>
    </row>
    <row r="243" spans="1:18">
      <c r="A243">
        <f t="shared" si="29"/>
        <v>1338.4590000000001</v>
      </c>
      <c r="B243">
        <v>8716</v>
      </c>
      <c r="C243" s="1">
        <v>38</v>
      </c>
      <c r="D243" s="1"/>
      <c r="E243" s="1">
        <v>33</v>
      </c>
      <c r="F243" s="1"/>
      <c r="G243" s="1"/>
      <c r="H243" s="1"/>
      <c r="I243">
        <v>88.087999999999994</v>
      </c>
      <c r="J243">
        <v>-64.760000000000005</v>
      </c>
      <c r="N243" s="1"/>
      <c r="O243" s="1">
        <v>1.9970370370370372</v>
      </c>
      <c r="P243">
        <f t="shared" si="30"/>
        <v>87.136733666207007</v>
      </c>
      <c r="Q243">
        <f t="shared" si="31"/>
        <v>87.911340531428564</v>
      </c>
      <c r="R243" t="e">
        <f t="shared" si="32"/>
        <v>#NUM!</v>
      </c>
    </row>
    <row r="244" spans="1:18">
      <c r="A244">
        <f t="shared" si="29"/>
        <v>1338.9590000000001</v>
      </c>
      <c r="B244">
        <v>8954</v>
      </c>
      <c r="C244" s="1">
        <v>38</v>
      </c>
      <c r="D244" s="1"/>
      <c r="E244" s="1">
        <v>35</v>
      </c>
      <c r="F244" s="1"/>
      <c r="G244" s="1"/>
      <c r="H244" s="1"/>
      <c r="I244">
        <v>87.691999999999993</v>
      </c>
      <c r="J244">
        <v>-70.33</v>
      </c>
      <c r="N244" s="1"/>
      <c r="O244" s="1">
        <v>2.1733333333333333</v>
      </c>
      <c r="P244">
        <f t="shared" si="30"/>
        <v>86.960437369910707</v>
      </c>
      <c r="Q244">
        <f t="shared" si="31"/>
        <v>88.246126324580018</v>
      </c>
      <c r="R244" t="e">
        <f t="shared" si="32"/>
        <v>#NUM!</v>
      </c>
    </row>
    <row r="245" spans="1:18">
      <c r="A245">
        <f t="shared" si="29"/>
        <v>1339.4590000000001</v>
      </c>
      <c r="B245">
        <v>9200</v>
      </c>
      <c r="C245" s="1">
        <v>38</v>
      </c>
      <c r="D245" s="1"/>
      <c r="E245" s="1">
        <v>35.5</v>
      </c>
      <c r="F245" s="1"/>
      <c r="G245" s="1"/>
      <c r="H245" s="1"/>
      <c r="I245">
        <v>88.033000000000001</v>
      </c>
      <c r="J245">
        <v>-75.73</v>
      </c>
      <c r="N245" s="1"/>
      <c r="O245" s="1">
        <v>2.2736842105263158</v>
      </c>
      <c r="P245">
        <f t="shared" si="30"/>
        <v>86.860086492717727</v>
      </c>
      <c r="Q245">
        <f t="shared" si="31"/>
        <v>88.268981621483405</v>
      </c>
      <c r="R245" t="e">
        <f t="shared" si="32"/>
        <v>#NUM!</v>
      </c>
    </row>
    <row r="246" spans="1:18">
      <c r="A246">
        <f t="shared" si="29"/>
        <v>1339.9590000000001</v>
      </c>
      <c r="B246">
        <v>9452</v>
      </c>
      <c r="C246" s="1">
        <v>45</v>
      </c>
      <c r="D246" s="1"/>
      <c r="E246" s="1">
        <v>36.5</v>
      </c>
      <c r="F246" s="1"/>
      <c r="G246" s="1"/>
      <c r="H246" s="1"/>
      <c r="I246">
        <v>87.790999999999997</v>
      </c>
      <c r="J246">
        <v>-84.28</v>
      </c>
      <c r="N246" s="1"/>
      <c r="O246" s="1">
        <v>2.3621052631578947</v>
      </c>
      <c r="P246">
        <f t="shared" si="30"/>
        <v>88.24024378325683</v>
      </c>
      <c r="Q246">
        <f t="shared" si="31"/>
        <v>88.421850796879426</v>
      </c>
      <c r="R246" t="e">
        <f t="shared" si="32"/>
        <v>#NUM!</v>
      </c>
    </row>
    <row r="247" spans="1:18">
      <c r="A247">
        <f t="shared" si="29"/>
        <v>1340.4590000000001</v>
      </c>
      <c r="B247">
        <v>9710</v>
      </c>
      <c r="C247" s="1">
        <v>43</v>
      </c>
      <c r="D247" s="1"/>
      <c r="E247" s="1">
        <v>36</v>
      </c>
      <c r="F247" s="1"/>
      <c r="G247" s="1"/>
      <c r="H247" s="1"/>
      <c r="I247">
        <v>88.272999999999996</v>
      </c>
      <c r="J247">
        <v>-99.23</v>
      </c>
      <c r="N247" s="1"/>
      <c r="O247" s="1">
        <v>2.4</v>
      </c>
      <c r="P247">
        <f t="shared" si="30"/>
        <v>87.807467882499566</v>
      </c>
      <c r="Q247">
        <f t="shared" si="31"/>
        <v>88.264148786253585</v>
      </c>
      <c r="R247" t="e">
        <f t="shared" si="32"/>
        <v>#NUM!</v>
      </c>
    </row>
    <row r="248" spans="1:18">
      <c r="A248">
        <f t="shared" si="29"/>
        <v>1340.9590000000001</v>
      </c>
      <c r="B248">
        <v>9976</v>
      </c>
      <c r="C248" s="1">
        <v>38</v>
      </c>
      <c r="D248" s="1"/>
      <c r="E248" s="1">
        <v>35</v>
      </c>
      <c r="F248" s="1"/>
      <c r="G248" s="1"/>
      <c r="H248" s="1"/>
      <c r="I248">
        <v>87.885999999999996</v>
      </c>
      <c r="J248">
        <v>-109.2</v>
      </c>
      <c r="N248" s="1"/>
      <c r="O248" s="1">
        <v>2.4</v>
      </c>
      <c r="P248">
        <f t="shared" si="30"/>
        <v>86.733770703244033</v>
      </c>
      <c r="Q248">
        <f t="shared" si="31"/>
        <v>88.019459657913345</v>
      </c>
      <c r="R248" t="e">
        <f t="shared" si="32"/>
        <v>#NUM!</v>
      </c>
    </row>
    <row r="249" spans="1:18">
      <c r="A249">
        <f t="shared" si="29"/>
        <v>1341.4590000000001</v>
      </c>
      <c r="B249">
        <v>10250</v>
      </c>
      <c r="C249" s="1">
        <v>37</v>
      </c>
      <c r="D249" s="1"/>
      <c r="E249" s="1">
        <v>34</v>
      </c>
      <c r="F249" s="1"/>
      <c r="G249" s="1"/>
      <c r="H249" s="1"/>
      <c r="I249">
        <v>87.820999999999998</v>
      </c>
      <c r="J249">
        <v>-110.2</v>
      </c>
      <c r="N249" s="1"/>
      <c r="O249" s="1">
        <v>2.4</v>
      </c>
      <c r="P249">
        <f t="shared" si="30"/>
        <v>86.502133252247745</v>
      </c>
      <c r="Q249">
        <f t="shared" si="31"/>
        <v>87.767677111752931</v>
      </c>
      <c r="R249" t="e">
        <f t="shared" si="32"/>
        <v>#NUM!</v>
      </c>
    </row>
    <row r="250" spans="1:18">
      <c r="A250">
        <f t="shared" si="29"/>
        <v>1341.9590000000001</v>
      </c>
      <c r="B250">
        <v>10530</v>
      </c>
      <c r="C250" s="1">
        <v>38</v>
      </c>
      <c r="D250" s="1"/>
      <c r="E250" s="1">
        <v>31</v>
      </c>
      <c r="F250" s="1"/>
      <c r="G250" s="1"/>
      <c r="H250" s="1"/>
      <c r="I250">
        <v>87.375</v>
      </c>
      <c r="J250">
        <v>-113.5</v>
      </c>
      <c r="N250" s="1"/>
      <c r="O250" s="1">
        <v>2.4</v>
      </c>
      <c r="P250">
        <f t="shared" si="30"/>
        <v>86.733770703244033</v>
      </c>
      <c r="Q250">
        <f t="shared" si="31"/>
        <v>86.9653326475933</v>
      </c>
      <c r="R250" t="e">
        <f t="shared" si="32"/>
        <v>#NUM!</v>
      </c>
    </row>
    <row r="251" spans="1:18">
      <c r="A251">
        <f t="shared" si="29"/>
        <v>1342.4590000000001</v>
      </c>
      <c r="B251">
        <v>10818</v>
      </c>
      <c r="C251" s="1">
        <v>38</v>
      </c>
      <c r="D251" s="1"/>
      <c r="E251" s="1">
        <v>34</v>
      </c>
      <c r="F251" s="1"/>
      <c r="G251" s="1"/>
      <c r="H251" s="1"/>
      <c r="I251">
        <v>87.427000000000007</v>
      </c>
      <c r="J251">
        <v>-118.5</v>
      </c>
      <c r="N251" s="1"/>
      <c r="O251" s="1">
        <v>2.401176470588235</v>
      </c>
      <c r="P251">
        <f t="shared" si="30"/>
        <v>86.732594232655799</v>
      </c>
      <c r="Q251">
        <f t="shared" si="31"/>
        <v>87.766500641164697</v>
      </c>
      <c r="R251" t="e">
        <f t="shared" si="32"/>
        <v>#NUM!</v>
      </c>
    </row>
    <row r="252" spans="1:18">
      <c r="A252">
        <f t="shared" si="29"/>
        <v>1342.9590000000001</v>
      </c>
      <c r="B252">
        <v>11114</v>
      </c>
      <c r="C252" s="1">
        <v>38</v>
      </c>
      <c r="D252" s="1"/>
      <c r="E252" s="1">
        <v>36</v>
      </c>
      <c r="F252" s="1"/>
      <c r="G252" s="1"/>
      <c r="H252" s="1"/>
      <c r="I252">
        <v>87.382000000000005</v>
      </c>
      <c r="J252">
        <v>-117.5</v>
      </c>
      <c r="N252" s="1"/>
      <c r="O252" s="1">
        <v>2.4447058823529413</v>
      </c>
      <c r="P252">
        <f t="shared" si="30"/>
        <v>86.689064820891105</v>
      </c>
      <c r="Q252">
        <f t="shared" si="31"/>
        <v>88.219442903900656</v>
      </c>
      <c r="R252" t="e">
        <f t="shared" si="32"/>
        <v>#NUM!</v>
      </c>
    </row>
    <row r="253" spans="1:18">
      <c r="A253">
        <f t="shared" si="29"/>
        <v>1343.4590000000001</v>
      </c>
      <c r="B253">
        <v>11418</v>
      </c>
      <c r="C253" s="1">
        <v>41</v>
      </c>
      <c r="D253" s="1"/>
      <c r="E253" s="1">
        <v>35</v>
      </c>
      <c r="F253" s="1"/>
      <c r="G253" s="1"/>
      <c r="H253" s="1"/>
      <c r="I253">
        <v>87.706999999999994</v>
      </c>
      <c r="J253">
        <v>-106.5</v>
      </c>
      <c r="N253" s="1"/>
      <c r="O253" s="1">
        <v>2.4894117647058822</v>
      </c>
      <c r="P253">
        <f t="shared" si="30"/>
        <v>87.304364140596675</v>
      </c>
      <c r="Q253">
        <f t="shared" si="31"/>
        <v>87.930047893207472</v>
      </c>
      <c r="R253" t="e">
        <f t="shared" si="32"/>
        <v>#NUM!</v>
      </c>
    </row>
    <row r="254" spans="1:18">
      <c r="A254">
        <f t="shared" si="29"/>
        <v>1343.9590000000001</v>
      </c>
      <c r="B254">
        <v>11730</v>
      </c>
      <c r="C254" s="1">
        <v>42</v>
      </c>
      <c r="D254" s="1"/>
      <c r="E254" s="1">
        <v>36</v>
      </c>
      <c r="F254" s="1"/>
      <c r="G254" s="1"/>
      <c r="H254" s="1"/>
      <c r="I254">
        <v>87.66</v>
      </c>
      <c r="J254">
        <v>-93.57</v>
      </c>
      <c r="N254" s="1"/>
      <c r="O254" s="1">
        <v>2.5</v>
      </c>
      <c r="P254">
        <f t="shared" si="30"/>
        <v>87.503084578865867</v>
      </c>
      <c r="Q254">
        <f t="shared" si="31"/>
        <v>88.164148786253591</v>
      </c>
      <c r="R254" t="e">
        <f t="shared" si="32"/>
        <v>#NUM!</v>
      </c>
    </row>
    <row r="255" spans="1:18">
      <c r="A255">
        <f t="shared" si="29"/>
        <v>1344.4590000000001</v>
      </c>
      <c r="B255">
        <v>12052</v>
      </c>
      <c r="C255" s="1">
        <v>44</v>
      </c>
      <c r="D255" s="1"/>
      <c r="E255" s="1">
        <v>42</v>
      </c>
      <c r="F255" s="1"/>
      <c r="G255" s="1"/>
      <c r="H255" s="1"/>
      <c r="I255">
        <v>87.950999999999993</v>
      </c>
      <c r="J255">
        <v>-82.24</v>
      </c>
      <c r="N255" s="1"/>
      <c r="O255" s="1">
        <v>2.5</v>
      </c>
      <c r="P255">
        <f t="shared" si="30"/>
        <v>87.907152300631594</v>
      </c>
      <c r="Q255">
        <f t="shared" si="31"/>
        <v>89.503084578865852</v>
      </c>
      <c r="R255" t="e">
        <f t="shared" si="32"/>
        <v>#NUM!</v>
      </c>
    </row>
    <row r="256" spans="1:18">
      <c r="A256">
        <f t="shared" si="29"/>
        <v>1344.9590000000001</v>
      </c>
      <c r="B256">
        <v>12382</v>
      </c>
      <c r="C256" s="1">
        <v>48</v>
      </c>
      <c r="D256" s="1"/>
      <c r="E256" s="1">
        <v>43</v>
      </c>
      <c r="F256" s="1"/>
      <c r="G256" s="1"/>
      <c r="H256" s="1"/>
      <c r="I256">
        <v>88.248000000000005</v>
      </c>
      <c r="J256">
        <v>-65</v>
      </c>
      <c r="N256" s="1"/>
      <c r="O256" s="1">
        <v>2.6038461538461539</v>
      </c>
      <c r="P256">
        <f t="shared" si="30"/>
        <v>88.559077364573454</v>
      </c>
      <c r="Q256">
        <f t="shared" si="31"/>
        <v>89.603621728653422</v>
      </c>
      <c r="R256" t="e">
        <f t="shared" si="32"/>
        <v>#NUM!</v>
      </c>
    </row>
    <row r="257" spans="1:18">
      <c r="A257">
        <f t="shared" si="29"/>
        <v>1345.4590000000001</v>
      </c>
      <c r="B257">
        <v>12722</v>
      </c>
      <c r="C257" s="1">
        <v>49</v>
      </c>
      <c r="D257" s="1"/>
      <c r="E257" s="1">
        <v>39</v>
      </c>
      <c r="F257" s="1"/>
      <c r="G257" s="1"/>
      <c r="H257" s="1"/>
      <c r="I257">
        <v>88.31</v>
      </c>
      <c r="J257">
        <v>-36.74</v>
      </c>
      <c r="N257" s="1"/>
      <c r="O257" s="1">
        <v>2.821794871794872</v>
      </c>
      <c r="P257">
        <f t="shared" si="30"/>
        <v>88.520225499683249</v>
      </c>
      <c r="Q257">
        <f t="shared" si="31"/>
        <v>88.537596039642949</v>
      </c>
      <c r="R257" t="e">
        <f t="shared" si="32"/>
        <v>#NUM!</v>
      </c>
    </row>
    <row r="258" spans="1:18">
      <c r="A258">
        <f t="shared" si="29"/>
        <v>1345.9590000000001</v>
      </c>
      <c r="B258">
        <v>13070</v>
      </c>
      <c r="C258" s="1">
        <v>44</v>
      </c>
      <c r="D258" s="1"/>
      <c r="E258" s="1">
        <v>42</v>
      </c>
      <c r="F258" s="1"/>
      <c r="G258" s="1"/>
      <c r="H258" s="1"/>
      <c r="I258">
        <v>88.337999999999994</v>
      </c>
      <c r="J258">
        <v>-7.8639999999999999</v>
      </c>
      <c r="N258" s="1"/>
      <c r="O258" s="1">
        <v>3.0168674698795179</v>
      </c>
      <c r="P258">
        <f t="shared" si="30"/>
        <v>87.39028483075208</v>
      </c>
      <c r="Q258">
        <f t="shared" si="31"/>
        <v>88.986217108986338</v>
      </c>
      <c r="R258" t="e">
        <f t="shared" si="32"/>
        <v>#NUM!</v>
      </c>
    </row>
    <row r="259" spans="1:18">
      <c r="A259">
        <f t="shared" si="29"/>
        <v>1346.4590000000001</v>
      </c>
      <c r="B259">
        <v>13428</v>
      </c>
      <c r="C259" s="1">
        <v>48</v>
      </c>
      <c r="D259" s="1"/>
      <c r="E259" s="1">
        <v>43</v>
      </c>
      <c r="F259" s="1"/>
      <c r="G259" s="1"/>
      <c r="H259" s="1"/>
      <c r="I259">
        <v>88.241</v>
      </c>
      <c r="J259">
        <v>-1.6819999999999999</v>
      </c>
      <c r="N259" s="1"/>
      <c r="O259" s="1">
        <v>3.1031325301204822</v>
      </c>
      <c r="P259">
        <f t="shared" si="30"/>
        <v>88.059790988299127</v>
      </c>
      <c r="Q259">
        <f t="shared" si="31"/>
        <v>89.104335352379096</v>
      </c>
      <c r="R259" t="e">
        <f t="shared" si="32"/>
        <v>#NUM!</v>
      </c>
    </row>
    <row r="260" spans="1:18">
      <c r="A260">
        <f t="shared" si="29"/>
        <v>1346.9590000000001</v>
      </c>
      <c r="B260">
        <v>13796</v>
      </c>
      <c r="C260" s="1">
        <v>48</v>
      </c>
      <c r="D260" s="1"/>
      <c r="E260" s="1">
        <v>41</v>
      </c>
      <c r="F260" s="1"/>
      <c r="G260" s="1"/>
      <c r="H260" s="1"/>
      <c r="I260">
        <v>88.165000000000006</v>
      </c>
      <c r="J260">
        <v>-26.26</v>
      </c>
      <c r="N260" s="1"/>
      <c r="O260" s="1">
        <v>3.1918072289156627</v>
      </c>
      <c r="P260">
        <f t="shared" si="30"/>
        <v>87.971116289503939</v>
      </c>
      <c r="Q260">
        <f t="shared" si="31"/>
        <v>88.601968676386875</v>
      </c>
      <c r="R260" t="e">
        <f t="shared" si="32"/>
        <v>#NUM!</v>
      </c>
    </row>
    <row r="261" spans="1:18">
      <c r="A261">
        <f t="shared" si="29"/>
        <v>1347.4590000000001</v>
      </c>
      <c r="B261">
        <v>14174</v>
      </c>
      <c r="C261" s="1">
        <v>51</v>
      </c>
      <c r="D261" s="1"/>
      <c r="E261" s="1">
        <v>50</v>
      </c>
      <c r="F261" s="1"/>
      <c r="G261" s="1"/>
      <c r="H261" s="1"/>
      <c r="I261">
        <v>88.177999999999997</v>
      </c>
      <c r="J261">
        <v>-60.03</v>
      </c>
      <c r="N261" s="1"/>
      <c r="O261" s="1">
        <v>3.2790804597701149</v>
      </c>
      <c r="P261">
        <f t="shared" si="30"/>
        <v>88.410421833096464</v>
      </c>
      <c r="Q261">
        <f t="shared" si="31"/>
        <v>90.238418397858098</v>
      </c>
      <c r="R261" t="e">
        <f t="shared" si="32"/>
        <v>#NUM!</v>
      </c>
    </row>
    <row r="262" spans="1:18">
      <c r="A262">
        <f t="shared" si="29"/>
        <v>1347.9590000000001</v>
      </c>
      <c r="B262">
        <v>14560</v>
      </c>
      <c r="C262" s="1">
        <v>57</v>
      </c>
      <c r="D262" s="1"/>
      <c r="E262" s="1">
        <v>49</v>
      </c>
      <c r="F262" s="1"/>
      <c r="G262" s="1"/>
      <c r="H262" s="1"/>
      <c r="I262">
        <v>88.212999999999994</v>
      </c>
      <c r="J262">
        <v>-85.13</v>
      </c>
      <c r="N262" s="1"/>
      <c r="O262" s="1">
        <v>3.367816091954023</v>
      </c>
      <c r="P262">
        <f t="shared" si="30"/>
        <v>89.28777979240364</v>
      </c>
      <c r="Q262">
        <f t="shared" si="31"/>
        <v>89.974204279524088</v>
      </c>
      <c r="R262" t="e">
        <f t="shared" si="32"/>
        <v>#NUM!</v>
      </c>
    </row>
    <row r="263" spans="1:18">
      <c r="A263">
        <f t="shared" si="29"/>
        <v>1348.4590000000001</v>
      </c>
      <c r="B263">
        <v>14960</v>
      </c>
      <c r="C263" s="1">
        <v>57</v>
      </c>
      <c r="D263" s="1"/>
      <c r="E263" s="1">
        <v>50</v>
      </c>
      <c r="F263" s="1"/>
      <c r="G263" s="1"/>
      <c r="H263" s="1"/>
      <c r="I263">
        <v>88.262</v>
      </c>
      <c r="J263">
        <v>-91.5</v>
      </c>
      <c r="N263" s="1"/>
      <c r="O263" s="1">
        <v>3.4553191489361703</v>
      </c>
      <c r="P263">
        <f t="shared" si="30"/>
        <v>89.200276735421497</v>
      </c>
      <c r="Q263">
        <f t="shared" si="31"/>
        <v>90.062179708692042</v>
      </c>
      <c r="R263" t="e">
        <f t="shared" si="32"/>
        <v>#NUM!</v>
      </c>
    </row>
    <row r="264" spans="1:18">
      <c r="A264">
        <f t="shared" si="29"/>
        <v>1348.9590000000001</v>
      </c>
      <c r="B264">
        <v>15368</v>
      </c>
      <c r="C264" s="1">
        <v>59</v>
      </c>
      <c r="D264" s="1"/>
      <c r="E264" s="1">
        <v>52</v>
      </c>
      <c r="F264" s="1"/>
      <c r="G264" s="1"/>
      <c r="H264" s="1"/>
      <c r="I264">
        <v>88.29</v>
      </c>
      <c r="J264">
        <v>-85.72</v>
      </c>
      <c r="N264" s="1"/>
      <c r="O264" s="1">
        <v>3.5421276595744682</v>
      </c>
      <c r="P264">
        <f t="shared" si="30"/>
        <v>89.413011344176269</v>
      </c>
      <c r="Q264">
        <f t="shared" si="31"/>
        <v>90.316037984029364</v>
      </c>
      <c r="R264" t="e">
        <f t="shared" si="32"/>
        <v>#NUM!</v>
      </c>
    </row>
    <row r="265" spans="1:18">
      <c r="A265">
        <f t="shared" si="29"/>
        <v>1349.4590000000001</v>
      </c>
      <c r="B265">
        <v>15790</v>
      </c>
      <c r="C265" s="1">
        <v>59</v>
      </c>
      <c r="D265" s="1"/>
      <c r="E265" s="1">
        <v>44</v>
      </c>
      <c r="F265" s="1"/>
      <c r="G265" s="1"/>
      <c r="H265" s="1"/>
      <c r="I265">
        <v>88.313999999999993</v>
      </c>
      <c r="J265">
        <v>-86.71</v>
      </c>
      <c r="N265" s="1"/>
      <c r="O265" s="1">
        <v>3.6</v>
      </c>
      <c r="P265">
        <f t="shared" si="30"/>
        <v>89.355139003750736</v>
      </c>
      <c r="Q265">
        <f t="shared" si="31"/>
        <v>88.8071523006316</v>
      </c>
      <c r="R265" t="e">
        <f t="shared" si="32"/>
        <v>#NUM!</v>
      </c>
    </row>
    <row r="266" spans="1:18">
      <c r="A266">
        <f t="shared" si="29"/>
        <v>1349.9590000000001</v>
      </c>
      <c r="B266">
        <v>16222</v>
      </c>
      <c r="C266" s="1">
        <v>55</v>
      </c>
      <c r="D266" s="1"/>
      <c r="E266" s="1">
        <v>45</v>
      </c>
      <c r="F266" s="1"/>
      <c r="G266" s="1"/>
      <c r="H266" s="1"/>
      <c r="I266">
        <v>88.356999999999999</v>
      </c>
      <c r="J266">
        <v>-97.94</v>
      </c>
      <c r="N266" s="1"/>
      <c r="O266" s="1">
        <v>3.6</v>
      </c>
      <c r="P266">
        <f t="shared" si="30"/>
        <v>88.745352560792725</v>
      </c>
      <c r="Q266">
        <f t="shared" si="31"/>
        <v>89.002349046414722</v>
      </c>
      <c r="R266" t="e">
        <f t="shared" si="32"/>
        <v>#NUM!</v>
      </c>
    </row>
    <row r="267" spans="1:18">
      <c r="A267">
        <f t="shared" si="29"/>
        <v>1350.4590000000001</v>
      </c>
      <c r="B267">
        <v>16666</v>
      </c>
      <c r="C267" s="1">
        <v>61</v>
      </c>
      <c r="D267" s="1"/>
      <c r="E267" s="1">
        <v>44</v>
      </c>
      <c r="F267" s="1"/>
      <c r="G267" s="1"/>
      <c r="H267" s="1"/>
      <c r="I267">
        <v>88.436999999999998</v>
      </c>
      <c r="J267">
        <v>-115.3</v>
      </c>
      <c r="N267" s="1"/>
      <c r="O267" s="1">
        <v>3.5966037735849059</v>
      </c>
      <c r="P267">
        <f t="shared" si="30"/>
        <v>89.648091697538277</v>
      </c>
      <c r="Q267">
        <f t="shared" si="31"/>
        <v>88.810548527046691</v>
      </c>
      <c r="R267" t="e">
        <f t="shared" si="32"/>
        <v>#NUM!</v>
      </c>
    </row>
    <row r="268" spans="1:18">
      <c r="A268">
        <f t="shared" si="29"/>
        <v>1350.9590000000001</v>
      </c>
      <c r="B268">
        <v>17122</v>
      </c>
      <c r="C268" s="1">
        <v>61</v>
      </c>
      <c r="D268" s="1"/>
      <c r="E268" s="1">
        <v>44</v>
      </c>
      <c r="F268" s="1"/>
      <c r="G268" s="1"/>
      <c r="H268" s="1"/>
      <c r="I268">
        <v>88.575999999999993</v>
      </c>
      <c r="J268">
        <v>-135.80000000000001</v>
      </c>
      <c r="N268" s="1"/>
      <c r="O268" s="1">
        <v>3.5535849056603772</v>
      </c>
      <c r="P268">
        <f t="shared" si="30"/>
        <v>89.691110565462807</v>
      </c>
      <c r="Q268">
        <f t="shared" si="31"/>
        <v>88.853567394971222</v>
      </c>
      <c r="R268" t="e">
        <f t="shared" si="32"/>
        <v>#NUM!</v>
      </c>
    </row>
    <row r="269" spans="1:18">
      <c r="A269">
        <f t="shared" si="29"/>
        <v>1351.4590000000001</v>
      </c>
      <c r="B269">
        <v>17592</v>
      </c>
      <c r="C269" s="1">
        <v>65</v>
      </c>
      <c r="D269" s="1"/>
      <c r="E269" s="1">
        <v>45</v>
      </c>
      <c r="F269" s="1"/>
      <c r="G269" s="1"/>
      <c r="H269" s="1"/>
      <c r="I269">
        <v>88.846999999999994</v>
      </c>
      <c r="J269">
        <v>-151.4</v>
      </c>
      <c r="N269" s="1"/>
      <c r="O269" s="1">
        <v>3.5092452830188678</v>
      </c>
      <c r="P269">
        <f t="shared" si="30"/>
        <v>90.28712062074608</v>
      </c>
      <c r="Q269">
        <f t="shared" si="31"/>
        <v>89.093103763395845</v>
      </c>
      <c r="R269" t="e">
        <f t="shared" si="32"/>
        <v>#NUM!</v>
      </c>
    </row>
    <row r="270" spans="1:18">
      <c r="A270">
        <f t="shared" si="29"/>
        <v>1351.9590000000001</v>
      </c>
      <c r="B270">
        <v>18074</v>
      </c>
      <c r="C270" s="1">
        <v>62</v>
      </c>
      <c r="D270" s="1"/>
      <c r="E270" s="1">
        <v>46</v>
      </c>
      <c r="F270" s="1"/>
      <c r="G270" s="1"/>
      <c r="H270" s="1"/>
      <c r="I270">
        <v>89.221000000000004</v>
      </c>
      <c r="J270">
        <v>-161.19999999999999</v>
      </c>
      <c r="N270" s="1"/>
      <c r="O270" s="1">
        <v>3.5</v>
      </c>
      <c r="P270">
        <f t="shared" si="30"/>
        <v>89.885932560872931</v>
      </c>
      <c r="Q270">
        <f t="shared" si="31"/>
        <v>89.293255404539323</v>
      </c>
      <c r="R270" t="e">
        <f t="shared" si="32"/>
        <v>#NUM!</v>
      </c>
    </row>
    <row r="271" spans="1:18">
      <c r="A271">
        <f t="shared" si="29"/>
        <v>1352.4590000000001</v>
      </c>
      <c r="B271">
        <v>18568</v>
      </c>
      <c r="C271" s="1">
        <v>64</v>
      </c>
      <c r="D271" s="1"/>
      <c r="E271" s="1">
        <v>48</v>
      </c>
      <c r="F271" s="1"/>
      <c r="G271" s="1"/>
      <c r="H271" s="1"/>
      <c r="I271">
        <v>89.611000000000004</v>
      </c>
      <c r="J271">
        <v>-179.1</v>
      </c>
      <c r="N271" s="1">
        <v>-0.16866335073725625</v>
      </c>
      <c r="O271" s="1">
        <v>3.5</v>
      </c>
      <c r="P271">
        <f t="shared" si="30"/>
        <v>90.330361601322863</v>
      </c>
      <c r="Q271">
        <f t="shared" si="31"/>
        <v>89.831586869156851</v>
      </c>
      <c r="R271" t="e">
        <f t="shared" si="32"/>
        <v>#NUM!</v>
      </c>
    </row>
    <row r="272" spans="1:18">
      <c r="A272">
        <f t="shared" si="29"/>
        <v>1352.9590000000001</v>
      </c>
      <c r="B272">
        <v>19076</v>
      </c>
      <c r="C272" s="1">
        <v>60</v>
      </c>
      <c r="D272" s="1"/>
      <c r="E272" s="1">
        <v>45</v>
      </c>
      <c r="F272" s="1"/>
      <c r="G272" s="1"/>
      <c r="H272" s="1"/>
      <c r="I272">
        <v>89.899000000000001</v>
      </c>
      <c r="J272">
        <v>147.21</v>
      </c>
      <c r="N272" s="1">
        <v>-0.34066678597560685</v>
      </c>
      <c r="O272" s="1">
        <v>3.5227350427350426</v>
      </c>
      <c r="P272">
        <f t="shared" si="30"/>
        <v>89.919055521821292</v>
      </c>
      <c r="Q272">
        <f t="shared" si="31"/>
        <v>89.42028078965528</v>
      </c>
      <c r="R272" t="e">
        <f t="shared" si="32"/>
        <v>#NUM!</v>
      </c>
    </row>
    <row r="273" spans="1:18">
      <c r="A273">
        <f t="shared" si="29"/>
        <v>1353.4590000000001</v>
      </c>
      <c r="B273">
        <v>19598</v>
      </c>
      <c r="C273" s="1">
        <v>62</v>
      </c>
      <c r="D273" s="1"/>
      <c r="E273" s="1">
        <v>47</v>
      </c>
      <c r="F273" s="1"/>
      <c r="G273" s="1"/>
      <c r="H273" s="1"/>
      <c r="I273">
        <v>90.093999999999994</v>
      </c>
      <c r="J273">
        <v>103.13</v>
      </c>
      <c r="N273" s="1">
        <v>-0.69524212518423834</v>
      </c>
      <c r="O273" s="1">
        <v>3.5673504273504273</v>
      </c>
      <c r="P273">
        <f t="shared" si="30"/>
        <v>90.513824258706734</v>
      </c>
      <c r="Q273">
        <f t="shared" si="31"/>
        <v>90.107947627455999</v>
      </c>
      <c r="R273" t="e">
        <f t="shared" si="32"/>
        <v>#NUM!</v>
      </c>
    </row>
    <row r="274" spans="1:18">
      <c r="A274">
        <f t="shared" si="29"/>
        <v>1353.9590000000001</v>
      </c>
      <c r="B274">
        <v>20000</v>
      </c>
      <c r="C274" s="1">
        <v>56</v>
      </c>
      <c r="D274" s="1"/>
      <c r="E274" s="1">
        <v>45</v>
      </c>
      <c r="F274" s="1"/>
      <c r="G274" s="1"/>
      <c r="H274" s="1"/>
      <c r="I274">
        <v>90.265000000000001</v>
      </c>
      <c r="J274">
        <v>88.341999999999999</v>
      </c>
      <c r="N274" s="1">
        <v>-1.0649102390645022</v>
      </c>
      <c r="O274" s="1">
        <v>3.6</v>
      </c>
      <c r="P274">
        <f t="shared" si="30"/>
        <v>89.966769550096373</v>
      </c>
      <c r="Q274">
        <f t="shared" si="31"/>
        <v>90.067259285479224</v>
      </c>
      <c r="R274" t="e">
        <f t="shared" si="32"/>
        <v>#NUM!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74"/>
  <sheetViews>
    <sheetView zoomScaleNormal="100" workbookViewId="0">
      <selection activeCell="A16" sqref="A16"/>
    </sheetView>
  </sheetViews>
  <sheetFormatPr baseColWidth="10" defaultRowHeight="15"/>
  <sheetData>
    <row r="1" spans="3:28">
      <c r="N1" t="s">
        <v>9</v>
      </c>
      <c r="O1" t="s">
        <v>24</v>
      </c>
      <c r="P1">
        <v>0.125</v>
      </c>
      <c r="Q1">
        <v>0.125</v>
      </c>
      <c r="R1">
        <v>0.125</v>
      </c>
      <c r="T1" t="s">
        <v>33</v>
      </c>
      <c r="U1" t="s">
        <v>35</v>
      </c>
      <c r="V1">
        <v>1.39</v>
      </c>
      <c r="W1">
        <v>1.39</v>
      </c>
      <c r="X1">
        <v>1.39</v>
      </c>
    </row>
    <row r="2" spans="3:28">
      <c r="N2" t="s">
        <v>11</v>
      </c>
      <c r="O2" t="s">
        <v>10</v>
      </c>
      <c r="P2">
        <f t="shared" ref="P2:Q2" si="0">+P1*23</f>
        <v>2.875</v>
      </c>
      <c r="Q2">
        <f t="shared" si="0"/>
        <v>2.875</v>
      </c>
      <c r="R2">
        <f>+R1*23</f>
        <v>2.875</v>
      </c>
      <c r="T2" t="s">
        <v>32</v>
      </c>
      <c r="U2" t="s">
        <v>35</v>
      </c>
      <c r="V2">
        <v>1.35</v>
      </c>
      <c r="W2">
        <v>1.35</v>
      </c>
      <c r="X2">
        <v>1.35</v>
      </c>
    </row>
    <row r="3" spans="3:28">
      <c r="N3" t="s">
        <v>12</v>
      </c>
      <c r="O3" t="s">
        <v>10</v>
      </c>
      <c r="P3" s="2">
        <f t="shared" ref="P3:Q3" si="1">2^0.5*2</f>
        <v>2.8284271247461903</v>
      </c>
      <c r="Q3" s="2">
        <f t="shared" si="1"/>
        <v>2.8284271247461903</v>
      </c>
      <c r="R3" s="2">
        <f>2^0.5*2</f>
        <v>2.8284271247461903</v>
      </c>
      <c r="T3" t="s">
        <v>34</v>
      </c>
      <c r="U3" t="s">
        <v>35</v>
      </c>
      <c r="V3">
        <v>1</v>
      </c>
      <c r="W3">
        <v>1</v>
      </c>
      <c r="X3">
        <v>1</v>
      </c>
    </row>
    <row r="4" spans="3:28">
      <c r="N4" t="s">
        <v>13</v>
      </c>
      <c r="O4" t="s">
        <v>14</v>
      </c>
      <c r="P4" s="3">
        <f t="shared" ref="P4:Q4" si="2">20*LOG(P3/P2)</f>
        <v>-0.14185711059354938</v>
      </c>
      <c r="Q4" s="3">
        <f t="shared" si="2"/>
        <v>-0.14185711059354938</v>
      </c>
      <c r="R4" s="3">
        <f>20*LOG(R3/R2)</f>
        <v>-0.14185711059354938</v>
      </c>
      <c r="T4" t="s">
        <v>36</v>
      </c>
      <c r="U4" t="s">
        <v>35</v>
      </c>
      <c r="V4" s="4">
        <f>((V1-V2)^2+V3^2)^0.5</f>
        <v>1.0007996802557444</v>
      </c>
      <c r="W4" s="4">
        <f>((W1-W2)^2+W3^2)^0.5</f>
        <v>1.0007996802557444</v>
      </c>
      <c r="X4" s="4">
        <f>((X1-X2)^2+X3^2)^0.5</f>
        <v>1.0007996802557444</v>
      </c>
    </row>
    <row r="5" spans="3:28">
      <c r="T5" t="s">
        <v>38</v>
      </c>
      <c r="U5" t="s">
        <v>37</v>
      </c>
      <c r="V5">
        <v>343</v>
      </c>
      <c r="W5">
        <v>343</v>
      </c>
      <c r="X5">
        <v>343</v>
      </c>
    </row>
    <row r="6" spans="3:28">
      <c r="N6" t="s">
        <v>15</v>
      </c>
      <c r="O6" t="s">
        <v>14</v>
      </c>
      <c r="P6" s="1">
        <f t="shared" ref="P6:Q6" si="3">20*LOG(202)</f>
        <v>46.10702738893248</v>
      </c>
      <c r="Q6" s="1">
        <f t="shared" si="3"/>
        <v>46.10702738893248</v>
      </c>
      <c r="R6" s="1">
        <f>20*LOG(202)</f>
        <v>46.10702738893248</v>
      </c>
      <c r="T6" t="s">
        <v>39</v>
      </c>
      <c r="V6">
        <v>1</v>
      </c>
      <c r="W6">
        <v>1</v>
      </c>
      <c r="X6">
        <v>1</v>
      </c>
    </row>
    <row r="7" spans="3:28">
      <c r="N7" t="s">
        <v>16</v>
      </c>
      <c r="O7" t="s">
        <v>14</v>
      </c>
      <c r="P7">
        <f>-14-2</f>
        <v>-16</v>
      </c>
      <c r="Q7">
        <v>-14</v>
      </c>
      <c r="R7">
        <v>-14</v>
      </c>
    </row>
    <row r="8" spans="3:28">
      <c r="N8" t="s">
        <v>17</v>
      </c>
      <c r="O8" t="s">
        <v>14</v>
      </c>
      <c r="P8" s="1">
        <f t="shared" ref="P8:Q8" si="4">+P6+P7</f>
        <v>30.10702738893248</v>
      </c>
      <c r="Q8" s="1">
        <f t="shared" si="4"/>
        <v>32.10702738893248</v>
      </c>
      <c r="R8" s="1">
        <f>+R6+R7</f>
        <v>32.10702738893248</v>
      </c>
    </row>
    <row r="9" spans="3:28">
      <c r="N9" t="s">
        <v>18</v>
      </c>
      <c r="O9" t="s">
        <v>19</v>
      </c>
      <c r="P9" s="1">
        <f t="shared" ref="P9:Q9" si="5">10^(P8/20)</f>
        <v>32.014842487714517</v>
      </c>
      <c r="Q9" s="1">
        <f t="shared" si="5"/>
        <v>40.304298762371403</v>
      </c>
      <c r="R9" s="1">
        <f>10^(R8/20)</f>
        <v>40.304298762371403</v>
      </c>
    </row>
    <row r="10" spans="3:28">
      <c r="N10" t="s">
        <v>21</v>
      </c>
      <c r="O10" t="s">
        <v>22</v>
      </c>
      <c r="P10">
        <v>1.4200000000000001E-2</v>
      </c>
      <c r="Q10">
        <v>1.4200000000000001E-2</v>
      </c>
      <c r="R10">
        <v>1.4200000000000001E-2</v>
      </c>
    </row>
    <row r="11" spans="3:28">
      <c r="O11" t="s">
        <v>20</v>
      </c>
      <c r="P11">
        <v>9</v>
      </c>
      <c r="Q11">
        <v>9</v>
      </c>
      <c r="R11">
        <v>9</v>
      </c>
    </row>
    <row r="12" spans="3:28">
      <c r="O12" t="s">
        <v>23</v>
      </c>
      <c r="P12" s="2">
        <f>1/(P11/P1*P9*P10)</f>
        <v>3.055116598491768E-2</v>
      </c>
      <c r="Q12" s="2">
        <f t="shared" ref="Q12" si="6">1/(Q11/Q1*Q9*Q10)</f>
        <v>2.4267653745568173E-2</v>
      </c>
      <c r="R12" s="2">
        <f>1/(R11/R1*R9*R10)</f>
        <v>2.4267653745568173E-2</v>
      </c>
    </row>
    <row r="13" spans="3:28">
      <c r="N13" t="s">
        <v>28</v>
      </c>
      <c r="P13" t="s">
        <v>31</v>
      </c>
      <c r="Q13" t="s">
        <v>31</v>
      </c>
      <c r="R13" t="s">
        <v>31</v>
      </c>
    </row>
    <row r="14" spans="3:28">
      <c r="N14" t="s">
        <v>29</v>
      </c>
      <c r="O14" t="s">
        <v>30</v>
      </c>
      <c r="P14">
        <v>3.161</v>
      </c>
      <c r="Q14">
        <v>2159.4349999999999</v>
      </c>
      <c r="R14">
        <v>2564.777</v>
      </c>
    </row>
    <row r="16" spans="3:28">
      <c r="C16" t="s">
        <v>97</v>
      </c>
      <c r="D16" t="s">
        <v>0</v>
      </c>
      <c r="E16" t="s">
        <v>97</v>
      </c>
      <c r="F16" t="s">
        <v>0</v>
      </c>
      <c r="G16" t="s">
        <v>97</v>
      </c>
      <c r="H16" t="s">
        <v>0</v>
      </c>
      <c r="I16" t="s">
        <v>3</v>
      </c>
      <c r="J16" t="s">
        <v>0</v>
      </c>
      <c r="N16" t="s">
        <v>1</v>
      </c>
      <c r="O16" t="s">
        <v>2</v>
      </c>
      <c r="P16" t="s">
        <v>3</v>
      </c>
      <c r="Q16" t="s">
        <v>3</v>
      </c>
      <c r="R16" t="s">
        <v>3</v>
      </c>
      <c r="V16" t="s">
        <v>0</v>
      </c>
      <c r="W16" t="s">
        <v>0</v>
      </c>
      <c r="X16" t="s">
        <v>0</v>
      </c>
      <c r="Z16" s="5"/>
      <c r="AB16" s="5"/>
    </row>
    <row r="17" spans="1:24">
      <c r="B17" t="s">
        <v>4</v>
      </c>
      <c r="C17" s="6" t="s">
        <v>5</v>
      </c>
      <c r="D17" t="s">
        <v>5</v>
      </c>
      <c r="E17" s="6" t="s">
        <v>6</v>
      </c>
      <c r="F17" t="s">
        <v>6</v>
      </c>
      <c r="G17" s="6" t="s">
        <v>7</v>
      </c>
      <c r="H17" t="str">
        <f>+G17</f>
        <v>DT94-8 (3)</v>
      </c>
      <c r="I17" t="s">
        <v>8</v>
      </c>
      <c r="J17" t="s">
        <v>8</v>
      </c>
      <c r="P17" t="str">
        <f>+C17</f>
        <v>DT94-8 (1)</v>
      </c>
      <c r="Q17" t="str">
        <f>+E17</f>
        <v>DT94-8 (2)</v>
      </c>
      <c r="R17" t="str">
        <f>+G17</f>
        <v>DT94-8 (3)</v>
      </c>
      <c r="V17" t="str">
        <f>+C17</f>
        <v>DT94-8 (1)</v>
      </c>
      <c r="W17" t="str">
        <f>+E17</f>
        <v>DT94-8 (2)</v>
      </c>
      <c r="X17" t="str">
        <f>+G17</f>
        <v>DT94-8 (3)</v>
      </c>
    </row>
    <row r="18" spans="1:24">
      <c r="A18">
        <v>2159.4349999999999</v>
      </c>
      <c r="B18">
        <v>20</v>
      </c>
      <c r="C18">
        <v>0.01</v>
      </c>
      <c r="E18">
        <v>0.01</v>
      </c>
      <c r="I18">
        <v>40.837000000000003</v>
      </c>
      <c r="J18">
        <v>159.05000000000001</v>
      </c>
      <c r="N18" s="1"/>
      <c r="O18" s="1">
        <v>0</v>
      </c>
    </row>
    <row r="19" spans="1:24">
      <c r="A19">
        <f>+A18+0.5</f>
        <v>2159.9349999999999</v>
      </c>
      <c r="B19">
        <v>20.5</v>
      </c>
      <c r="C19">
        <v>0.01</v>
      </c>
      <c r="E19">
        <v>0.01</v>
      </c>
      <c r="I19">
        <v>40.936999999999998</v>
      </c>
      <c r="J19">
        <v>158.76</v>
      </c>
      <c r="N19" s="1"/>
      <c r="O19" s="1">
        <v>0</v>
      </c>
    </row>
    <row r="20" spans="1:24">
      <c r="A20">
        <f t="shared" ref="A20:A83" si="7">+A19+0.5</f>
        <v>2160.4349999999999</v>
      </c>
      <c r="B20">
        <v>21.1</v>
      </c>
      <c r="C20">
        <v>0.01</v>
      </c>
      <c r="E20">
        <v>0.01</v>
      </c>
      <c r="I20">
        <v>41.08</v>
      </c>
      <c r="J20">
        <v>158.47999999999999</v>
      </c>
      <c r="N20" s="1"/>
      <c r="O20" s="1">
        <v>0</v>
      </c>
    </row>
    <row r="21" spans="1:24">
      <c r="A21">
        <f t="shared" si="7"/>
        <v>2160.9349999999999</v>
      </c>
      <c r="B21">
        <v>21.6</v>
      </c>
      <c r="C21">
        <v>0.01</v>
      </c>
      <c r="E21">
        <v>0.01</v>
      </c>
      <c r="I21">
        <v>41.177</v>
      </c>
      <c r="J21">
        <v>158.19</v>
      </c>
      <c r="N21" s="1"/>
      <c r="O21" s="1">
        <v>0</v>
      </c>
    </row>
    <row r="22" spans="1:24">
      <c r="A22">
        <f t="shared" si="7"/>
        <v>2161.4349999999999</v>
      </c>
      <c r="B22">
        <v>22.2</v>
      </c>
      <c r="C22">
        <v>0.01</v>
      </c>
      <c r="E22">
        <v>0.01</v>
      </c>
      <c r="I22">
        <v>41.119</v>
      </c>
      <c r="J22">
        <v>157.91</v>
      </c>
      <c r="N22" s="1"/>
      <c r="O22" s="1">
        <v>0</v>
      </c>
    </row>
    <row r="23" spans="1:24">
      <c r="A23">
        <f t="shared" si="7"/>
        <v>2161.9349999999999</v>
      </c>
      <c r="B23">
        <v>22.9</v>
      </c>
      <c r="C23">
        <v>0.01</v>
      </c>
      <c r="E23">
        <v>0.01</v>
      </c>
      <c r="I23">
        <v>40.99</v>
      </c>
      <c r="J23">
        <v>157.63999999999999</v>
      </c>
      <c r="N23" s="1"/>
      <c r="O23" s="1">
        <v>0</v>
      </c>
    </row>
    <row r="24" spans="1:24">
      <c r="A24">
        <f t="shared" si="7"/>
        <v>2162.4349999999999</v>
      </c>
      <c r="B24">
        <v>23.5</v>
      </c>
      <c r="C24">
        <v>0.01</v>
      </c>
      <c r="E24">
        <v>0.01</v>
      </c>
      <c r="I24">
        <v>40.889000000000003</v>
      </c>
      <c r="J24">
        <v>157.37</v>
      </c>
      <c r="N24" s="1"/>
      <c r="O24" s="1">
        <v>0</v>
      </c>
    </row>
    <row r="25" spans="1:24">
      <c r="A25">
        <f t="shared" si="7"/>
        <v>2162.9349999999999</v>
      </c>
      <c r="B25">
        <v>24.1</v>
      </c>
      <c r="C25">
        <v>0.01</v>
      </c>
      <c r="E25">
        <v>0.01</v>
      </c>
      <c r="I25">
        <v>40.859000000000002</v>
      </c>
      <c r="J25">
        <v>157.1</v>
      </c>
      <c r="N25" s="1"/>
      <c r="O25" s="1">
        <v>0</v>
      </c>
    </row>
    <row r="26" spans="1:24">
      <c r="A26">
        <f t="shared" si="7"/>
        <v>2163.4349999999999</v>
      </c>
      <c r="B26">
        <v>24.8</v>
      </c>
      <c r="C26">
        <v>0.01</v>
      </c>
      <c r="E26">
        <v>0.01</v>
      </c>
      <c r="I26">
        <v>40.823</v>
      </c>
      <c r="J26">
        <v>156.84</v>
      </c>
      <c r="N26" s="1"/>
      <c r="O26" s="1">
        <v>0</v>
      </c>
    </row>
    <row r="27" spans="1:24">
      <c r="A27">
        <f t="shared" si="7"/>
        <v>2163.9349999999999</v>
      </c>
      <c r="B27">
        <v>25.5</v>
      </c>
      <c r="C27">
        <v>0.01</v>
      </c>
      <c r="E27">
        <v>0.01</v>
      </c>
      <c r="I27">
        <v>40.685000000000002</v>
      </c>
      <c r="J27">
        <v>156.58000000000001</v>
      </c>
      <c r="N27" s="1"/>
      <c r="O27" s="1">
        <v>0</v>
      </c>
    </row>
    <row r="28" spans="1:24">
      <c r="A28">
        <f t="shared" si="7"/>
        <v>2164.4349999999999</v>
      </c>
      <c r="B28">
        <v>26.2</v>
      </c>
      <c r="C28">
        <v>0.01</v>
      </c>
      <c r="E28">
        <v>0.01</v>
      </c>
      <c r="I28">
        <v>40.456000000000003</v>
      </c>
      <c r="J28">
        <v>156.33000000000001</v>
      </c>
      <c r="N28" s="1"/>
      <c r="O28" s="1">
        <v>0</v>
      </c>
    </row>
    <row r="29" spans="1:24">
      <c r="A29">
        <f t="shared" si="7"/>
        <v>2164.9349999999999</v>
      </c>
      <c r="B29">
        <v>26.9</v>
      </c>
      <c r="C29">
        <v>0.01</v>
      </c>
      <c r="E29">
        <v>0.01</v>
      </c>
      <c r="I29">
        <v>40.231000000000002</v>
      </c>
      <c r="J29">
        <v>156.09</v>
      </c>
      <c r="N29" s="1"/>
      <c r="O29" s="1">
        <v>0</v>
      </c>
    </row>
    <row r="30" spans="1:24">
      <c r="A30">
        <f t="shared" si="7"/>
        <v>2165.4349999999999</v>
      </c>
      <c r="B30">
        <v>27.6</v>
      </c>
      <c r="C30">
        <v>0.01</v>
      </c>
      <c r="E30">
        <v>0.01</v>
      </c>
      <c r="I30">
        <v>40.094999999999999</v>
      </c>
      <c r="J30">
        <v>155.86000000000001</v>
      </c>
      <c r="N30" s="1"/>
      <c r="O30" s="1">
        <v>0</v>
      </c>
    </row>
    <row r="31" spans="1:24">
      <c r="A31">
        <f t="shared" si="7"/>
        <v>2165.9349999999999</v>
      </c>
      <c r="B31">
        <v>28.4</v>
      </c>
      <c r="C31">
        <v>0.01</v>
      </c>
      <c r="E31">
        <v>0.01</v>
      </c>
      <c r="I31">
        <v>40.128</v>
      </c>
      <c r="J31">
        <v>155.63999999999999</v>
      </c>
      <c r="N31" s="1"/>
      <c r="O31" s="1">
        <v>0</v>
      </c>
    </row>
    <row r="32" spans="1:24">
      <c r="A32">
        <f t="shared" si="7"/>
        <v>2166.4349999999999</v>
      </c>
      <c r="B32">
        <v>29.2</v>
      </c>
      <c r="C32">
        <v>0.01</v>
      </c>
      <c r="E32">
        <v>0.01</v>
      </c>
      <c r="I32">
        <v>40.338999999999999</v>
      </c>
      <c r="J32">
        <v>155.43</v>
      </c>
      <c r="N32" s="1"/>
      <c r="O32" s="1">
        <v>0</v>
      </c>
    </row>
    <row r="33" spans="1:15">
      <c r="A33">
        <f t="shared" si="7"/>
        <v>2166.9349999999999</v>
      </c>
      <c r="B33">
        <v>30</v>
      </c>
      <c r="C33">
        <v>0.01</v>
      </c>
      <c r="E33">
        <v>0.01</v>
      </c>
      <c r="I33">
        <v>40.481000000000002</v>
      </c>
      <c r="J33">
        <v>155.22999999999999</v>
      </c>
      <c r="N33" s="1"/>
      <c r="O33" s="1">
        <v>0</v>
      </c>
    </row>
    <row r="34" spans="1:15">
      <c r="A34">
        <f t="shared" si="7"/>
        <v>2167.4349999999999</v>
      </c>
      <c r="B34">
        <v>30.8</v>
      </c>
      <c r="C34">
        <v>0.01</v>
      </c>
      <c r="E34">
        <v>0.01</v>
      </c>
      <c r="I34">
        <v>40.387</v>
      </c>
      <c r="J34">
        <v>155.04</v>
      </c>
      <c r="N34" s="1"/>
      <c r="O34" s="1">
        <v>0</v>
      </c>
    </row>
    <row r="35" spans="1:15">
      <c r="A35">
        <f t="shared" si="7"/>
        <v>2167.9349999999999</v>
      </c>
      <c r="B35">
        <v>31.6</v>
      </c>
      <c r="C35">
        <v>0.01</v>
      </c>
      <c r="E35">
        <v>0.01</v>
      </c>
      <c r="I35">
        <v>40.159999999999997</v>
      </c>
      <c r="J35">
        <v>154.86000000000001</v>
      </c>
      <c r="N35" s="1"/>
      <c r="O35" s="1">
        <v>0</v>
      </c>
    </row>
    <row r="36" spans="1:15">
      <c r="A36">
        <f t="shared" si="7"/>
        <v>2168.4349999999999</v>
      </c>
      <c r="B36">
        <v>32.5</v>
      </c>
      <c r="C36">
        <v>0.01</v>
      </c>
      <c r="E36">
        <v>0.01</v>
      </c>
      <c r="I36">
        <v>39.97</v>
      </c>
      <c r="J36">
        <v>154.69999999999999</v>
      </c>
      <c r="N36" s="1"/>
      <c r="O36" s="1">
        <v>0</v>
      </c>
    </row>
    <row r="37" spans="1:15">
      <c r="A37">
        <f t="shared" si="7"/>
        <v>2168.9349999999999</v>
      </c>
      <c r="B37">
        <v>33.4</v>
      </c>
      <c r="C37">
        <v>0.01</v>
      </c>
      <c r="E37">
        <v>0.01</v>
      </c>
      <c r="I37">
        <v>39.97</v>
      </c>
      <c r="J37">
        <v>154.56</v>
      </c>
      <c r="N37" s="1"/>
      <c r="O37" s="1">
        <v>0</v>
      </c>
    </row>
    <row r="38" spans="1:15">
      <c r="A38">
        <f t="shared" si="7"/>
        <v>2169.4349999999999</v>
      </c>
      <c r="B38">
        <v>34.299999999999997</v>
      </c>
      <c r="C38">
        <v>0.01</v>
      </c>
      <c r="E38">
        <v>0.01</v>
      </c>
      <c r="I38">
        <v>40.011000000000003</v>
      </c>
      <c r="J38">
        <v>154.41999999999999</v>
      </c>
      <c r="N38" s="1"/>
      <c r="O38" s="1">
        <v>0</v>
      </c>
    </row>
    <row r="39" spans="1:15">
      <c r="A39">
        <f t="shared" si="7"/>
        <v>2169.9349999999999</v>
      </c>
      <c r="B39">
        <v>35.200000000000003</v>
      </c>
      <c r="C39">
        <v>0.01</v>
      </c>
      <c r="E39">
        <v>0.01</v>
      </c>
      <c r="I39">
        <v>39.82</v>
      </c>
      <c r="J39">
        <v>154.31</v>
      </c>
      <c r="N39" s="1"/>
      <c r="O39" s="1">
        <v>0</v>
      </c>
    </row>
    <row r="40" spans="1:15">
      <c r="A40">
        <f t="shared" si="7"/>
        <v>2170.4349999999999</v>
      </c>
      <c r="B40">
        <v>36.200000000000003</v>
      </c>
      <c r="C40">
        <v>0.01</v>
      </c>
      <c r="E40">
        <v>0.01</v>
      </c>
      <c r="I40">
        <v>39.451000000000001</v>
      </c>
      <c r="J40">
        <v>154.21</v>
      </c>
      <c r="N40" s="1"/>
      <c r="O40" s="1">
        <v>0</v>
      </c>
    </row>
    <row r="41" spans="1:15">
      <c r="A41">
        <f t="shared" si="7"/>
        <v>2170.9349999999999</v>
      </c>
      <c r="B41">
        <v>37.200000000000003</v>
      </c>
      <c r="C41">
        <v>0.01</v>
      </c>
      <c r="E41">
        <v>0.01</v>
      </c>
      <c r="I41">
        <v>39.078000000000003</v>
      </c>
      <c r="J41">
        <v>154.13</v>
      </c>
      <c r="N41" s="1"/>
      <c r="O41" s="1">
        <v>0</v>
      </c>
    </row>
    <row r="42" spans="1:15">
      <c r="A42">
        <f t="shared" si="7"/>
        <v>2171.4349999999999</v>
      </c>
      <c r="B42">
        <v>38.200000000000003</v>
      </c>
      <c r="C42">
        <v>0.01</v>
      </c>
      <c r="E42">
        <v>0.01</v>
      </c>
      <c r="I42">
        <v>38.887</v>
      </c>
      <c r="J42">
        <v>154.07</v>
      </c>
      <c r="N42" s="1"/>
      <c r="O42" s="1">
        <v>0</v>
      </c>
    </row>
    <row r="43" spans="1:15">
      <c r="A43">
        <f t="shared" si="7"/>
        <v>2171.9349999999999</v>
      </c>
      <c r="B43">
        <v>39.299999999999997</v>
      </c>
      <c r="C43">
        <v>0.01</v>
      </c>
      <c r="E43">
        <v>0.01</v>
      </c>
      <c r="I43">
        <v>39.002000000000002</v>
      </c>
      <c r="J43">
        <v>154.03</v>
      </c>
      <c r="N43" s="1"/>
      <c r="O43" s="1">
        <v>0</v>
      </c>
    </row>
    <row r="44" spans="1:15">
      <c r="A44">
        <f t="shared" si="7"/>
        <v>2172.4349999999999</v>
      </c>
      <c r="B44">
        <v>40.299999999999997</v>
      </c>
      <c r="C44">
        <v>0.01</v>
      </c>
      <c r="E44">
        <v>0.01</v>
      </c>
      <c r="I44">
        <v>39.228000000000002</v>
      </c>
      <c r="J44">
        <v>154.02000000000001</v>
      </c>
      <c r="N44" s="1"/>
      <c r="O44" s="1">
        <v>0</v>
      </c>
    </row>
    <row r="45" spans="1:15">
      <c r="A45">
        <f t="shared" si="7"/>
        <v>2172.9349999999999</v>
      </c>
      <c r="B45">
        <v>41.4</v>
      </c>
      <c r="C45">
        <v>0.01</v>
      </c>
      <c r="E45">
        <v>0.01</v>
      </c>
      <c r="I45">
        <v>39.268000000000001</v>
      </c>
      <c r="J45">
        <v>154.02000000000001</v>
      </c>
      <c r="N45" s="1"/>
      <c r="O45" s="1">
        <v>0</v>
      </c>
    </row>
    <row r="46" spans="1:15">
      <c r="A46">
        <f t="shared" si="7"/>
        <v>2173.4349999999999</v>
      </c>
      <c r="B46">
        <v>42.6</v>
      </c>
      <c r="C46">
        <v>0.01</v>
      </c>
      <c r="E46">
        <v>0.01</v>
      </c>
      <c r="I46">
        <v>39.066000000000003</v>
      </c>
      <c r="J46">
        <v>154.05000000000001</v>
      </c>
      <c r="N46" s="1"/>
      <c r="O46" s="1">
        <v>0</v>
      </c>
    </row>
    <row r="47" spans="1:15">
      <c r="A47">
        <f t="shared" si="7"/>
        <v>2173.9349999999999</v>
      </c>
      <c r="B47">
        <v>43.7</v>
      </c>
      <c r="C47">
        <v>0.01</v>
      </c>
      <c r="E47">
        <v>0.01</v>
      </c>
      <c r="I47">
        <v>38.777999999999999</v>
      </c>
      <c r="J47">
        <v>154.1</v>
      </c>
      <c r="N47" s="1"/>
      <c r="O47" s="1">
        <v>0</v>
      </c>
    </row>
    <row r="48" spans="1:15">
      <c r="A48">
        <f t="shared" si="7"/>
        <v>2174.4349999999999</v>
      </c>
      <c r="B48">
        <v>44.9</v>
      </c>
      <c r="C48">
        <v>0.01</v>
      </c>
      <c r="E48">
        <v>0.01</v>
      </c>
      <c r="I48">
        <v>38.566000000000003</v>
      </c>
      <c r="J48">
        <v>154.16999999999999</v>
      </c>
      <c r="N48" s="1"/>
      <c r="O48" s="1">
        <v>0</v>
      </c>
    </row>
    <row r="49" spans="1:15">
      <c r="A49">
        <f t="shared" si="7"/>
        <v>2174.9349999999999</v>
      </c>
      <c r="B49">
        <v>46.2</v>
      </c>
      <c r="C49">
        <v>0.01</v>
      </c>
      <c r="E49">
        <v>0.01</v>
      </c>
      <c r="I49">
        <v>38.418999999999997</v>
      </c>
      <c r="J49">
        <v>154.27000000000001</v>
      </c>
      <c r="N49" s="1"/>
      <c r="O49" s="1">
        <v>0</v>
      </c>
    </row>
    <row r="50" spans="1:15">
      <c r="A50">
        <f t="shared" si="7"/>
        <v>2175.4349999999999</v>
      </c>
      <c r="B50">
        <v>47.4</v>
      </c>
      <c r="C50">
        <v>0.01</v>
      </c>
      <c r="E50">
        <v>0.01</v>
      </c>
      <c r="I50">
        <v>38.265999999999998</v>
      </c>
      <c r="J50">
        <v>154.4</v>
      </c>
      <c r="N50" s="1"/>
      <c r="O50" s="1">
        <v>0</v>
      </c>
    </row>
    <row r="51" spans="1:15">
      <c r="A51">
        <f t="shared" si="7"/>
        <v>2175.9349999999999</v>
      </c>
      <c r="B51">
        <v>48.7</v>
      </c>
      <c r="C51">
        <v>0.01</v>
      </c>
      <c r="E51">
        <v>0.01</v>
      </c>
      <c r="I51">
        <v>38.207000000000001</v>
      </c>
      <c r="J51">
        <v>154.56</v>
      </c>
      <c r="N51" s="1"/>
      <c r="O51" s="1">
        <v>0</v>
      </c>
    </row>
    <row r="52" spans="1:15">
      <c r="A52">
        <f t="shared" si="7"/>
        <v>2176.4349999999999</v>
      </c>
      <c r="B52">
        <v>50.1</v>
      </c>
      <c r="C52">
        <v>0.01</v>
      </c>
      <c r="E52">
        <v>0.01</v>
      </c>
      <c r="I52">
        <v>38.414999999999999</v>
      </c>
      <c r="J52">
        <v>154.74</v>
      </c>
      <c r="N52" s="1"/>
      <c r="O52" s="1">
        <v>0</v>
      </c>
    </row>
    <row r="53" spans="1:15">
      <c r="A53">
        <f t="shared" si="7"/>
        <v>2176.9349999999999</v>
      </c>
      <c r="B53">
        <v>51.4</v>
      </c>
      <c r="C53">
        <v>0.01</v>
      </c>
      <c r="E53">
        <v>0.01</v>
      </c>
      <c r="I53">
        <v>38.801000000000002</v>
      </c>
      <c r="J53">
        <v>154.94999999999999</v>
      </c>
      <c r="N53" s="1"/>
      <c r="O53" s="1">
        <v>0</v>
      </c>
    </row>
    <row r="54" spans="1:15">
      <c r="A54">
        <f t="shared" si="7"/>
        <v>2177.4349999999999</v>
      </c>
      <c r="B54">
        <v>52.8</v>
      </c>
      <c r="C54">
        <v>0.01</v>
      </c>
      <c r="E54">
        <v>0.01</v>
      </c>
      <c r="I54">
        <v>39.015999999999998</v>
      </c>
      <c r="J54">
        <v>155.19</v>
      </c>
      <c r="N54" s="1"/>
      <c r="O54" s="1">
        <v>0</v>
      </c>
    </row>
    <row r="55" spans="1:15">
      <c r="A55">
        <f t="shared" si="7"/>
        <v>2177.9349999999999</v>
      </c>
      <c r="B55">
        <v>54.3</v>
      </c>
      <c r="C55">
        <v>0.01</v>
      </c>
      <c r="E55">
        <v>0.01</v>
      </c>
      <c r="I55">
        <v>38.883000000000003</v>
      </c>
      <c r="J55">
        <v>155.46</v>
      </c>
      <c r="N55" s="1"/>
      <c r="O55" s="1">
        <v>0</v>
      </c>
    </row>
    <row r="56" spans="1:15">
      <c r="A56">
        <f t="shared" si="7"/>
        <v>2178.4349999999999</v>
      </c>
      <c r="B56">
        <v>55.8</v>
      </c>
      <c r="C56">
        <v>0.01</v>
      </c>
      <c r="E56">
        <v>0.01</v>
      </c>
      <c r="I56">
        <v>38.558</v>
      </c>
      <c r="J56">
        <v>155.76</v>
      </c>
      <c r="N56" s="1"/>
      <c r="O56" s="1">
        <v>0</v>
      </c>
    </row>
    <row r="57" spans="1:15">
      <c r="A57">
        <f t="shared" si="7"/>
        <v>2178.9349999999999</v>
      </c>
      <c r="B57">
        <v>57.3</v>
      </c>
      <c r="C57">
        <v>0.01</v>
      </c>
      <c r="E57">
        <v>0.01</v>
      </c>
      <c r="I57">
        <v>38.229999999999997</v>
      </c>
      <c r="J57">
        <v>156.09</v>
      </c>
      <c r="N57" s="1"/>
      <c r="O57" s="1">
        <v>0</v>
      </c>
    </row>
    <row r="58" spans="1:15">
      <c r="A58">
        <f t="shared" si="7"/>
        <v>2179.4349999999999</v>
      </c>
      <c r="B58">
        <v>58.9</v>
      </c>
      <c r="C58">
        <v>0.01</v>
      </c>
      <c r="E58">
        <v>0.01</v>
      </c>
      <c r="I58">
        <v>37.945</v>
      </c>
      <c r="J58">
        <v>156.46</v>
      </c>
      <c r="N58" s="1"/>
      <c r="O58" s="1">
        <v>0</v>
      </c>
    </row>
    <row r="59" spans="1:15">
      <c r="A59">
        <f t="shared" si="7"/>
        <v>2179.9349999999999</v>
      </c>
      <c r="B59">
        <v>60.5</v>
      </c>
      <c r="C59">
        <v>0.01</v>
      </c>
      <c r="E59">
        <v>0.01</v>
      </c>
      <c r="I59">
        <v>37.603999999999999</v>
      </c>
      <c r="J59">
        <v>156.85</v>
      </c>
      <c r="N59" s="1"/>
      <c r="O59" s="1">
        <v>0</v>
      </c>
    </row>
    <row r="60" spans="1:15">
      <c r="A60">
        <f t="shared" si="7"/>
        <v>2180.4349999999999</v>
      </c>
      <c r="B60">
        <v>62.1</v>
      </c>
      <c r="C60">
        <v>0.01</v>
      </c>
      <c r="E60">
        <v>0.01</v>
      </c>
      <c r="I60">
        <v>37.103999999999999</v>
      </c>
      <c r="J60">
        <v>157.28</v>
      </c>
      <c r="N60" s="1"/>
      <c r="O60" s="1">
        <v>0</v>
      </c>
    </row>
    <row r="61" spans="1:15">
      <c r="A61">
        <f t="shared" si="7"/>
        <v>2180.9349999999999</v>
      </c>
      <c r="B61">
        <v>63.8</v>
      </c>
      <c r="C61">
        <v>0.01</v>
      </c>
      <c r="E61">
        <v>0.01</v>
      </c>
      <c r="I61">
        <v>36.567</v>
      </c>
      <c r="J61">
        <v>157.75</v>
      </c>
      <c r="N61" s="1"/>
      <c r="O61" s="1">
        <v>0</v>
      </c>
    </row>
    <row r="62" spans="1:15">
      <c r="A62">
        <f t="shared" si="7"/>
        <v>2181.4349999999999</v>
      </c>
      <c r="B62">
        <v>65.599999999999994</v>
      </c>
      <c r="C62">
        <v>0.01</v>
      </c>
      <c r="E62">
        <v>0.01</v>
      </c>
      <c r="I62">
        <v>36.225999999999999</v>
      </c>
      <c r="J62">
        <v>158.24</v>
      </c>
      <c r="N62" s="1"/>
      <c r="O62" s="1">
        <v>0</v>
      </c>
    </row>
    <row r="63" spans="1:15">
      <c r="A63">
        <f t="shared" si="7"/>
        <v>2181.9349999999999</v>
      </c>
      <c r="B63">
        <v>67.400000000000006</v>
      </c>
      <c r="C63">
        <v>0.01</v>
      </c>
      <c r="E63">
        <v>0.01</v>
      </c>
      <c r="I63">
        <v>36.155000000000001</v>
      </c>
      <c r="J63">
        <v>158.77000000000001</v>
      </c>
      <c r="N63" s="1"/>
      <c r="O63" s="1">
        <v>0</v>
      </c>
    </row>
    <row r="64" spans="1:15">
      <c r="A64">
        <f t="shared" si="7"/>
        <v>2182.4349999999999</v>
      </c>
      <c r="B64">
        <v>69.2</v>
      </c>
      <c r="C64">
        <v>0.01</v>
      </c>
      <c r="E64">
        <v>0.01</v>
      </c>
      <c r="I64">
        <v>36.276000000000003</v>
      </c>
      <c r="J64">
        <v>159.34</v>
      </c>
      <c r="N64" s="1"/>
      <c r="O64" s="1">
        <v>0</v>
      </c>
    </row>
    <row r="65" spans="1:15">
      <c r="A65">
        <f t="shared" si="7"/>
        <v>2182.9349999999999</v>
      </c>
      <c r="B65">
        <v>71.099999999999994</v>
      </c>
      <c r="C65">
        <v>0.01</v>
      </c>
      <c r="E65">
        <v>0.01</v>
      </c>
      <c r="I65">
        <v>36.4</v>
      </c>
      <c r="J65">
        <v>159.94</v>
      </c>
      <c r="N65" s="1"/>
      <c r="O65" s="1">
        <v>0</v>
      </c>
    </row>
    <row r="66" spans="1:15">
      <c r="A66">
        <f t="shared" si="7"/>
        <v>2183.4349999999999</v>
      </c>
      <c r="B66">
        <v>73.099999999999994</v>
      </c>
      <c r="C66">
        <v>0.01</v>
      </c>
      <c r="E66">
        <v>0.01</v>
      </c>
      <c r="I66">
        <v>36.429000000000002</v>
      </c>
      <c r="J66">
        <v>160.57</v>
      </c>
      <c r="N66" s="1"/>
      <c r="O66" s="1">
        <v>0</v>
      </c>
    </row>
    <row r="67" spans="1:15">
      <c r="A67">
        <f t="shared" si="7"/>
        <v>2183.9349999999999</v>
      </c>
      <c r="B67">
        <v>75.099999999999994</v>
      </c>
      <c r="C67">
        <v>0.01</v>
      </c>
      <c r="E67">
        <v>0.01</v>
      </c>
      <c r="I67">
        <v>36.512</v>
      </c>
      <c r="J67">
        <v>161.24</v>
      </c>
      <c r="N67" s="1"/>
      <c r="O67" s="1">
        <v>0</v>
      </c>
    </row>
    <row r="68" spans="1:15">
      <c r="A68">
        <f t="shared" si="7"/>
        <v>2184.4349999999999</v>
      </c>
      <c r="B68">
        <v>77.099999999999994</v>
      </c>
      <c r="C68">
        <v>0.01</v>
      </c>
      <c r="E68">
        <v>0.01</v>
      </c>
      <c r="I68">
        <v>36.670999999999999</v>
      </c>
      <c r="J68">
        <v>161.94</v>
      </c>
      <c r="N68" s="1"/>
      <c r="O68" s="1">
        <v>0</v>
      </c>
    </row>
    <row r="69" spans="1:15">
      <c r="A69">
        <f t="shared" si="7"/>
        <v>2184.9349999999999</v>
      </c>
      <c r="B69">
        <v>79.3</v>
      </c>
      <c r="C69">
        <v>0.01</v>
      </c>
      <c r="E69">
        <v>0.01</v>
      </c>
      <c r="I69">
        <v>36.795999999999999</v>
      </c>
      <c r="J69">
        <v>162.68</v>
      </c>
      <c r="N69" s="1"/>
      <c r="O69" s="1">
        <v>0</v>
      </c>
    </row>
    <row r="70" spans="1:15">
      <c r="A70">
        <f t="shared" si="7"/>
        <v>2185.4349999999999</v>
      </c>
      <c r="B70">
        <v>81.400000000000006</v>
      </c>
      <c r="C70">
        <v>0.01</v>
      </c>
      <c r="E70">
        <v>0.01</v>
      </c>
      <c r="I70">
        <v>36.816000000000003</v>
      </c>
      <c r="J70">
        <v>163.44999999999999</v>
      </c>
      <c r="N70" s="1"/>
      <c r="O70" s="1">
        <v>0</v>
      </c>
    </row>
    <row r="71" spans="1:15">
      <c r="A71">
        <f t="shared" si="7"/>
        <v>2185.9349999999999</v>
      </c>
      <c r="B71">
        <v>83.7</v>
      </c>
      <c r="C71">
        <v>0.01</v>
      </c>
      <c r="E71">
        <v>0.01</v>
      </c>
      <c r="I71">
        <v>36.685000000000002</v>
      </c>
      <c r="J71">
        <v>164.26</v>
      </c>
      <c r="N71" s="1"/>
      <c r="O71" s="1">
        <v>0</v>
      </c>
    </row>
    <row r="72" spans="1:15">
      <c r="A72">
        <f t="shared" si="7"/>
        <v>2186.4349999999999</v>
      </c>
      <c r="B72">
        <v>86</v>
      </c>
      <c r="C72">
        <v>0.01</v>
      </c>
      <c r="E72">
        <v>0.01</v>
      </c>
      <c r="I72">
        <v>36.465000000000003</v>
      </c>
      <c r="J72">
        <v>165.1</v>
      </c>
      <c r="N72" s="1"/>
      <c r="O72" s="1">
        <v>0</v>
      </c>
    </row>
    <row r="73" spans="1:15">
      <c r="A73">
        <f t="shared" si="7"/>
        <v>2186.9349999999999</v>
      </c>
      <c r="B73">
        <v>88.3</v>
      </c>
      <c r="C73">
        <v>0.01</v>
      </c>
      <c r="E73">
        <v>0.01</v>
      </c>
      <c r="I73">
        <v>36.195999999999998</v>
      </c>
      <c r="J73">
        <v>165.97</v>
      </c>
      <c r="N73" s="1"/>
      <c r="O73" s="1">
        <v>0</v>
      </c>
    </row>
    <row r="74" spans="1:15">
      <c r="A74">
        <f t="shared" si="7"/>
        <v>2187.4349999999999</v>
      </c>
      <c r="B74">
        <v>90.7</v>
      </c>
      <c r="C74">
        <v>0.01</v>
      </c>
      <c r="E74">
        <v>0.01</v>
      </c>
      <c r="I74">
        <v>35.970999999999997</v>
      </c>
      <c r="J74">
        <v>166.88</v>
      </c>
      <c r="N74" s="1"/>
      <c r="O74" s="1">
        <v>0</v>
      </c>
    </row>
    <row r="75" spans="1:15">
      <c r="A75">
        <f t="shared" si="7"/>
        <v>2187.9349999999999</v>
      </c>
      <c r="B75">
        <v>93.2</v>
      </c>
      <c r="C75">
        <v>0.01</v>
      </c>
      <c r="E75">
        <v>0.01</v>
      </c>
      <c r="I75">
        <v>35.948</v>
      </c>
      <c r="J75">
        <v>167.82</v>
      </c>
      <c r="N75" s="1"/>
      <c r="O75" s="1">
        <v>0</v>
      </c>
    </row>
    <row r="76" spans="1:15">
      <c r="A76">
        <f t="shared" si="7"/>
        <v>2188.4349999999999</v>
      </c>
      <c r="B76">
        <v>95.8</v>
      </c>
      <c r="C76">
        <v>0.01</v>
      </c>
      <c r="E76">
        <v>0.01</v>
      </c>
      <c r="I76">
        <v>36.075000000000003</v>
      </c>
      <c r="J76">
        <v>168.79</v>
      </c>
      <c r="N76" s="1"/>
      <c r="O76" s="1">
        <v>0</v>
      </c>
    </row>
    <row r="77" spans="1:15">
      <c r="A77">
        <f t="shared" si="7"/>
        <v>2188.9349999999999</v>
      </c>
      <c r="B77">
        <v>98.4</v>
      </c>
      <c r="C77">
        <v>0.01</v>
      </c>
      <c r="E77">
        <v>0.01</v>
      </c>
      <c r="I77">
        <v>36.155999999999999</v>
      </c>
      <c r="J77">
        <v>169.79</v>
      </c>
      <c r="N77" s="1"/>
      <c r="O77" s="1">
        <v>0</v>
      </c>
    </row>
    <row r="78" spans="1:15">
      <c r="A78">
        <f t="shared" si="7"/>
        <v>2189.4349999999999</v>
      </c>
      <c r="B78">
        <v>101.1</v>
      </c>
      <c r="C78">
        <v>0.01</v>
      </c>
      <c r="E78">
        <v>0.01</v>
      </c>
      <c r="I78">
        <v>36.100999999999999</v>
      </c>
      <c r="J78">
        <v>173.18</v>
      </c>
      <c r="N78" s="1"/>
      <c r="O78" s="1">
        <v>0</v>
      </c>
    </row>
    <row r="79" spans="1:15">
      <c r="A79">
        <f t="shared" si="7"/>
        <v>2189.9349999999999</v>
      </c>
      <c r="B79">
        <v>103.8</v>
      </c>
      <c r="C79">
        <v>0.01</v>
      </c>
      <c r="E79">
        <v>0.01</v>
      </c>
      <c r="I79">
        <v>36.015999999999998</v>
      </c>
      <c r="J79">
        <v>179.66</v>
      </c>
      <c r="N79" s="1"/>
      <c r="O79" s="1">
        <v>0</v>
      </c>
    </row>
    <row r="80" spans="1:15">
      <c r="A80">
        <f t="shared" si="7"/>
        <v>2190.4349999999999</v>
      </c>
      <c r="B80">
        <v>106.7</v>
      </c>
      <c r="C80">
        <v>0.01</v>
      </c>
      <c r="E80">
        <v>0.01</v>
      </c>
      <c r="I80">
        <v>35.997999999999998</v>
      </c>
      <c r="J80">
        <v>178.24</v>
      </c>
      <c r="N80" s="1"/>
      <c r="O80" s="1">
        <v>0</v>
      </c>
    </row>
    <row r="81" spans="1:15">
      <c r="A81">
        <f t="shared" si="7"/>
        <v>2190.9349999999999</v>
      </c>
      <c r="B81">
        <v>109.6</v>
      </c>
      <c r="C81">
        <v>0.01</v>
      </c>
      <c r="E81">
        <v>0.01</v>
      </c>
      <c r="I81">
        <v>36.088999999999999</v>
      </c>
      <c r="J81">
        <v>-179.4</v>
      </c>
      <c r="N81" s="1"/>
      <c r="O81" s="1">
        <v>0</v>
      </c>
    </row>
    <row r="82" spans="1:15">
      <c r="A82">
        <f t="shared" si="7"/>
        <v>2191.4349999999999</v>
      </c>
      <c r="B82">
        <v>112.6</v>
      </c>
      <c r="C82">
        <v>0.01</v>
      </c>
      <c r="E82">
        <v>0.01</v>
      </c>
      <c r="I82">
        <v>36.354999999999997</v>
      </c>
      <c r="J82">
        <v>-172.9</v>
      </c>
      <c r="N82" s="1"/>
      <c r="O82" s="1">
        <v>0</v>
      </c>
    </row>
    <row r="83" spans="1:15">
      <c r="A83">
        <f t="shared" si="7"/>
        <v>2191.9349999999999</v>
      </c>
      <c r="B83">
        <v>115.7</v>
      </c>
      <c r="C83">
        <v>0.01</v>
      </c>
      <c r="E83">
        <v>0.01</v>
      </c>
      <c r="I83">
        <v>36.773000000000003</v>
      </c>
      <c r="J83">
        <v>-167.2</v>
      </c>
      <c r="N83" s="1"/>
      <c r="O83" s="1">
        <v>0</v>
      </c>
    </row>
    <row r="84" spans="1:15">
      <c r="A84">
        <f t="shared" ref="A84:A147" si="8">+A83+0.5</f>
        <v>2192.4349999999999</v>
      </c>
      <c r="B84">
        <v>118.9</v>
      </c>
      <c r="C84">
        <v>0.01</v>
      </c>
      <c r="E84">
        <v>0.01</v>
      </c>
      <c r="I84">
        <v>37.191000000000003</v>
      </c>
      <c r="J84">
        <v>-162.30000000000001</v>
      </c>
      <c r="N84" s="1"/>
      <c r="O84" s="1">
        <v>0</v>
      </c>
    </row>
    <row r="85" spans="1:15">
      <c r="A85">
        <f t="shared" si="8"/>
        <v>2192.9349999999999</v>
      </c>
      <c r="B85">
        <v>122.1</v>
      </c>
      <c r="C85">
        <v>0.01</v>
      </c>
      <c r="E85">
        <v>0.01</v>
      </c>
      <c r="I85">
        <v>37.409999999999997</v>
      </c>
      <c r="J85">
        <v>-163.1</v>
      </c>
      <c r="N85" s="1"/>
      <c r="O85" s="1">
        <v>0</v>
      </c>
    </row>
    <row r="86" spans="1:15">
      <c r="A86">
        <f t="shared" si="8"/>
        <v>2193.4349999999999</v>
      </c>
      <c r="B86">
        <v>125.5</v>
      </c>
      <c r="C86">
        <v>0.01</v>
      </c>
      <c r="E86">
        <v>0.01</v>
      </c>
      <c r="I86">
        <v>37.436999999999998</v>
      </c>
      <c r="J86">
        <v>-165.1</v>
      </c>
      <c r="N86" s="1"/>
      <c r="O86" s="1">
        <v>0</v>
      </c>
    </row>
    <row r="87" spans="1:15">
      <c r="A87">
        <f t="shared" si="8"/>
        <v>2193.9349999999999</v>
      </c>
      <c r="B87">
        <v>128.9</v>
      </c>
      <c r="C87">
        <v>0.01</v>
      </c>
      <c r="E87">
        <v>0.01</v>
      </c>
      <c r="I87">
        <v>37.603000000000002</v>
      </c>
      <c r="J87">
        <v>-167.5</v>
      </c>
      <c r="N87" s="1"/>
      <c r="O87" s="1">
        <v>0</v>
      </c>
    </row>
    <row r="88" spans="1:15">
      <c r="A88">
        <f t="shared" si="8"/>
        <v>2194.4349999999999</v>
      </c>
      <c r="B88">
        <v>132.4</v>
      </c>
      <c r="C88">
        <v>0.01</v>
      </c>
      <c r="E88">
        <v>0.01</v>
      </c>
      <c r="I88">
        <v>38.146000000000001</v>
      </c>
      <c r="J88">
        <v>-165</v>
      </c>
      <c r="N88" s="1"/>
      <c r="O88" s="1">
        <v>0</v>
      </c>
    </row>
    <row r="89" spans="1:15">
      <c r="A89">
        <f t="shared" si="8"/>
        <v>2194.9349999999999</v>
      </c>
      <c r="B89">
        <v>136.1</v>
      </c>
      <c r="C89">
        <v>0.01</v>
      </c>
      <c r="E89">
        <v>0.01</v>
      </c>
      <c r="I89">
        <v>38.857999999999997</v>
      </c>
      <c r="J89">
        <v>-158.9</v>
      </c>
      <c r="N89" s="1"/>
      <c r="O89" s="1">
        <v>0</v>
      </c>
    </row>
    <row r="90" spans="1:15">
      <c r="A90">
        <f t="shared" si="8"/>
        <v>2195.4349999999999</v>
      </c>
      <c r="B90">
        <v>139.80000000000001</v>
      </c>
      <c r="C90">
        <v>0.01</v>
      </c>
      <c r="E90">
        <v>0.01</v>
      </c>
      <c r="I90">
        <v>39.368000000000002</v>
      </c>
      <c r="J90">
        <v>-158.19999999999999</v>
      </c>
      <c r="N90" s="1"/>
      <c r="O90" s="1">
        <v>0</v>
      </c>
    </row>
    <row r="91" spans="1:15">
      <c r="A91">
        <f t="shared" si="8"/>
        <v>2195.9349999999999</v>
      </c>
      <c r="B91">
        <v>143.6</v>
      </c>
      <c r="C91">
        <v>0.01</v>
      </c>
      <c r="E91">
        <v>0.01</v>
      </c>
      <c r="I91">
        <v>39.619999999999997</v>
      </c>
      <c r="J91">
        <v>-161</v>
      </c>
      <c r="N91" s="1"/>
      <c r="O91" s="1">
        <v>0</v>
      </c>
    </row>
    <row r="92" spans="1:15">
      <c r="A92">
        <f t="shared" si="8"/>
        <v>2196.4349999999999</v>
      </c>
      <c r="B92">
        <v>147.6</v>
      </c>
      <c r="C92">
        <v>0.01</v>
      </c>
      <c r="E92">
        <v>0.01</v>
      </c>
      <c r="I92">
        <v>39.923000000000002</v>
      </c>
      <c r="J92">
        <v>-163</v>
      </c>
      <c r="N92" s="1"/>
      <c r="O92" s="1">
        <v>0</v>
      </c>
    </row>
    <row r="93" spans="1:15">
      <c r="A93">
        <f t="shared" si="8"/>
        <v>2196.9349999999999</v>
      </c>
      <c r="B93">
        <v>151.6</v>
      </c>
      <c r="C93">
        <v>0.01</v>
      </c>
      <c r="E93">
        <v>0.01</v>
      </c>
      <c r="I93">
        <v>40.536000000000001</v>
      </c>
      <c r="J93">
        <v>-160.9</v>
      </c>
      <c r="N93" s="1"/>
      <c r="O93" s="1">
        <v>0</v>
      </c>
    </row>
    <row r="94" spans="1:15">
      <c r="A94">
        <f t="shared" si="8"/>
        <v>2197.4349999999999</v>
      </c>
      <c r="B94">
        <v>155.69999999999999</v>
      </c>
      <c r="C94">
        <v>0.01</v>
      </c>
      <c r="E94">
        <v>0.01</v>
      </c>
      <c r="I94">
        <v>41.305</v>
      </c>
      <c r="J94">
        <v>-156.4</v>
      </c>
      <c r="N94" s="1"/>
      <c r="O94" s="1">
        <v>0</v>
      </c>
    </row>
    <row r="95" spans="1:15">
      <c r="A95">
        <f t="shared" si="8"/>
        <v>2197.9349999999999</v>
      </c>
      <c r="B95">
        <v>160</v>
      </c>
      <c r="C95">
        <v>0.01</v>
      </c>
      <c r="E95">
        <v>0.01</v>
      </c>
      <c r="I95">
        <v>41.921999999999997</v>
      </c>
      <c r="J95">
        <v>-154.6</v>
      </c>
      <c r="N95" s="1"/>
      <c r="O95" s="1">
        <v>0</v>
      </c>
    </row>
    <row r="96" spans="1:15">
      <c r="A96">
        <f t="shared" si="8"/>
        <v>2198.4349999999999</v>
      </c>
      <c r="B96">
        <v>164.4</v>
      </c>
      <c r="C96">
        <v>0.01</v>
      </c>
      <c r="E96">
        <v>0.01</v>
      </c>
      <c r="I96">
        <v>42.378999999999998</v>
      </c>
      <c r="J96">
        <v>-158</v>
      </c>
      <c r="N96" s="1"/>
      <c r="O96" s="1">
        <v>0</v>
      </c>
    </row>
    <row r="97" spans="1:15">
      <c r="A97">
        <f t="shared" si="8"/>
        <v>2198.9349999999999</v>
      </c>
      <c r="B97">
        <v>168.9</v>
      </c>
      <c r="C97">
        <v>0.01</v>
      </c>
      <c r="E97">
        <v>0.01</v>
      </c>
      <c r="I97">
        <v>42.912999999999997</v>
      </c>
      <c r="J97">
        <v>-156.19999999999999</v>
      </c>
      <c r="N97" s="1"/>
      <c r="O97" s="1">
        <v>0</v>
      </c>
    </row>
    <row r="98" spans="1:15">
      <c r="A98">
        <f t="shared" si="8"/>
        <v>2199.4349999999999</v>
      </c>
      <c r="B98">
        <v>173.5</v>
      </c>
      <c r="C98">
        <v>0.01</v>
      </c>
      <c r="E98">
        <v>0.01</v>
      </c>
      <c r="I98">
        <v>43.658999999999999</v>
      </c>
      <c r="J98">
        <v>-150.19999999999999</v>
      </c>
      <c r="N98" s="1"/>
      <c r="O98" s="1">
        <v>0</v>
      </c>
    </row>
    <row r="99" spans="1:15">
      <c r="A99">
        <f t="shared" si="8"/>
        <v>2199.9349999999999</v>
      </c>
      <c r="B99">
        <v>178.3</v>
      </c>
      <c r="C99">
        <v>0.01</v>
      </c>
      <c r="E99">
        <v>0.01</v>
      </c>
      <c r="I99">
        <v>44.481000000000002</v>
      </c>
      <c r="J99">
        <v>-149.9</v>
      </c>
      <c r="N99" s="1"/>
      <c r="O99" s="1">
        <v>0</v>
      </c>
    </row>
    <row r="100" spans="1:15">
      <c r="A100">
        <f t="shared" si="8"/>
        <v>2200.4349999999999</v>
      </c>
      <c r="B100">
        <v>183.2</v>
      </c>
      <c r="C100">
        <v>0.01</v>
      </c>
      <c r="E100">
        <v>0.01</v>
      </c>
      <c r="I100">
        <v>45.179000000000002</v>
      </c>
      <c r="J100">
        <v>-155.80000000000001</v>
      </c>
      <c r="N100" s="1"/>
      <c r="O100" s="1">
        <v>0</v>
      </c>
    </row>
    <row r="101" spans="1:15">
      <c r="A101">
        <f t="shared" si="8"/>
        <v>2200.9349999999999</v>
      </c>
      <c r="B101">
        <v>188.2</v>
      </c>
      <c r="C101">
        <v>0.01</v>
      </c>
      <c r="E101">
        <v>0.01</v>
      </c>
      <c r="I101">
        <v>45.75</v>
      </c>
      <c r="J101">
        <v>-159.19999999999999</v>
      </c>
      <c r="N101" s="1"/>
      <c r="O101" s="1">
        <v>0</v>
      </c>
    </row>
    <row r="102" spans="1:15">
      <c r="A102">
        <f t="shared" si="8"/>
        <v>2201.4349999999999</v>
      </c>
      <c r="B102">
        <v>193.3</v>
      </c>
      <c r="C102">
        <v>0.01</v>
      </c>
      <c r="E102">
        <v>0.01</v>
      </c>
      <c r="I102">
        <v>46.258000000000003</v>
      </c>
      <c r="J102">
        <v>-156.6</v>
      </c>
      <c r="N102" s="1"/>
      <c r="O102" s="1">
        <v>0</v>
      </c>
    </row>
    <row r="103" spans="1:15">
      <c r="A103">
        <f t="shared" si="8"/>
        <v>2201.9349999999999</v>
      </c>
      <c r="B103">
        <v>198.6</v>
      </c>
      <c r="C103">
        <v>0.01</v>
      </c>
      <c r="E103">
        <v>0.01</v>
      </c>
      <c r="I103">
        <v>46.725999999999999</v>
      </c>
      <c r="J103">
        <v>-154.9</v>
      </c>
      <c r="N103" s="1"/>
      <c r="O103" s="1">
        <v>0</v>
      </c>
    </row>
    <row r="104" spans="1:15">
      <c r="A104">
        <f t="shared" si="8"/>
        <v>2202.4349999999999</v>
      </c>
      <c r="B104">
        <v>204</v>
      </c>
      <c r="C104">
        <v>0.01</v>
      </c>
      <c r="E104">
        <v>0.01</v>
      </c>
      <c r="I104">
        <v>47.204000000000001</v>
      </c>
      <c r="J104">
        <v>-158.30000000000001</v>
      </c>
      <c r="N104" s="1"/>
      <c r="O104" s="1">
        <v>0</v>
      </c>
    </row>
    <row r="105" spans="1:15">
      <c r="A105">
        <f t="shared" si="8"/>
        <v>2202.9349999999999</v>
      </c>
      <c r="B105">
        <v>209.6</v>
      </c>
      <c r="C105">
        <v>0.01</v>
      </c>
      <c r="E105">
        <v>0.01</v>
      </c>
      <c r="I105">
        <v>47.722999999999999</v>
      </c>
      <c r="J105">
        <v>-157.30000000000001</v>
      </c>
      <c r="N105" s="1"/>
      <c r="O105" s="1">
        <v>0</v>
      </c>
    </row>
    <row r="106" spans="1:15">
      <c r="A106">
        <f t="shared" si="8"/>
        <v>2203.4349999999999</v>
      </c>
      <c r="B106">
        <v>215.4</v>
      </c>
      <c r="C106">
        <v>0.01</v>
      </c>
      <c r="E106">
        <v>0.01</v>
      </c>
      <c r="I106">
        <v>48.302</v>
      </c>
      <c r="J106">
        <v>-155.80000000000001</v>
      </c>
      <c r="N106" s="1"/>
      <c r="O106" s="1">
        <v>0</v>
      </c>
    </row>
    <row r="107" spans="1:15">
      <c r="A107">
        <f t="shared" si="8"/>
        <v>2203.9349999999999</v>
      </c>
      <c r="B107">
        <v>221.2</v>
      </c>
      <c r="C107">
        <v>0.01</v>
      </c>
      <c r="E107">
        <v>0.01</v>
      </c>
      <c r="I107">
        <v>48.942</v>
      </c>
      <c r="J107">
        <v>-160.5</v>
      </c>
      <c r="N107" s="1"/>
      <c r="O107" s="1">
        <v>0</v>
      </c>
    </row>
    <row r="108" spans="1:15">
      <c r="A108">
        <f t="shared" si="8"/>
        <v>2204.4349999999999</v>
      </c>
      <c r="B108">
        <v>227.2</v>
      </c>
      <c r="C108">
        <v>0.01</v>
      </c>
      <c r="E108">
        <v>0.01</v>
      </c>
      <c r="I108">
        <v>49.59</v>
      </c>
      <c r="J108">
        <v>-162.1</v>
      </c>
      <c r="N108" s="1"/>
      <c r="O108" s="1">
        <v>0</v>
      </c>
    </row>
    <row r="109" spans="1:15">
      <c r="A109">
        <f t="shared" si="8"/>
        <v>2204.9349999999999</v>
      </c>
      <c r="B109">
        <v>233.4</v>
      </c>
      <c r="C109">
        <v>0.01</v>
      </c>
      <c r="E109">
        <v>0.01</v>
      </c>
      <c r="I109">
        <v>50.219000000000001</v>
      </c>
      <c r="J109">
        <v>-161.6</v>
      </c>
      <c r="N109" s="1"/>
      <c r="O109" s="1">
        <v>0</v>
      </c>
    </row>
    <row r="110" spans="1:15">
      <c r="A110">
        <f t="shared" si="8"/>
        <v>2205.4349999999999</v>
      </c>
      <c r="B110">
        <v>239.8</v>
      </c>
      <c r="C110">
        <v>0.01</v>
      </c>
      <c r="E110">
        <v>0.01</v>
      </c>
      <c r="I110">
        <v>50.838999999999999</v>
      </c>
      <c r="J110">
        <v>-163.69999999999999</v>
      </c>
      <c r="N110" s="1"/>
      <c r="O110" s="1">
        <v>0</v>
      </c>
    </row>
    <row r="111" spans="1:15">
      <c r="A111">
        <f t="shared" si="8"/>
        <v>2205.9349999999999</v>
      </c>
      <c r="B111">
        <v>246.4</v>
      </c>
      <c r="C111">
        <v>0.01</v>
      </c>
      <c r="E111">
        <v>0.01</v>
      </c>
      <c r="I111">
        <v>51.353000000000002</v>
      </c>
      <c r="J111">
        <v>-163.5</v>
      </c>
      <c r="N111" s="1"/>
      <c r="O111" s="1">
        <v>0</v>
      </c>
    </row>
    <row r="112" spans="1:15">
      <c r="A112">
        <f t="shared" si="8"/>
        <v>2206.4349999999999</v>
      </c>
      <c r="B112">
        <v>253.2</v>
      </c>
      <c r="C112">
        <v>0.01</v>
      </c>
      <c r="E112">
        <v>0.01</v>
      </c>
      <c r="I112">
        <v>51.685000000000002</v>
      </c>
      <c r="J112">
        <v>-162.1</v>
      </c>
      <c r="N112" s="1"/>
      <c r="O112" s="1">
        <v>0</v>
      </c>
    </row>
    <row r="113" spans="1:15">
      <c r="A113">
        <f t="shared" si="8"/>
        <v>2206.9349999999999</v>
      </c>
      <c r="B113">
        <v>260.2</v>
      </c>
      <c r="C113">
        <v>0.01</v>
      </c>
      <c r="E113">
        <v>0.01</v>
      </c>
      <c r="I113">
        <v>51.945999999999998</v>
      </c>
      <c r="J113">
        <v>-163.69999999999999</v>
      </c>
      <c r="N113" s="1"/>
      <c r="O113" s="1">
        <v>0</v>
      </c>
    </row>
    <row r="114" spans="1:15">
      <c r="A114">
        <f t="shared" si="8"/>
        <v>2207.4349999999999</v>
      </c>
      <c r="B114">
        <v>267.39999999999998</v>
      </c>
      <c r="C114">
        <v>0.01</v>
      </c>
      <c r="E114">
        <v>0.01</v>
      </c>
      <c r="I114">
        <v>52.255000000000003</v>
      </c>
      <c r="J114">
        <v>-163</v>
      </c>
      <c r="N114" s="1"/>
      <c r="O114" s="1">
        <v>0</v>
      </c>
    </row>
    <row r="115" spans="1:15">
      <c r="A115">
        <f t="shared" si="8"/>
        <v>2207.9349999999999</v>
      </c>
      <c r="B115">
        <v>274.60000000000002</v>
      </c>
      <c r="C115">
        <v>0.01</v>
      </c>
      <c r="E115">
        <v>0.01</v>
      </c>
      <c r="I115">
        <v>52.674999999999997</v>
      </c>
      <c r="J115">
        <v>-163.69999999999999</v>
      </c>
      <c r="N115" s="1"/>
      <c r="O115" s="1">
        <v>0</v>
      </c>
    </row>
    <row r="116" spans="1:15">
      <c r="A116">
        <f t="shared" si="8"/>
        <v>2208.4349999999999</v>
      </c>
      <c r="B116">
        <v>282.2</v>
      </c>
      <c r="C116">
        <v>0.01</v>
      </c>
      <c r="E116">
        <v>0.01</v>
      </c>
      <c r="I116">
        <v>53.213000000000001</v>
      </c>
      <c r="J116">
        <v>-164.4</v>
      </c>
      <c r="N116" s="1"/>
      <c r="O116" s="1">
        <v>0</v>
      </c>
    </row>
    <row r="117" spans="1:15">
      <c r="A117">
        <f t="shared" si="8"/>
        <v>2208.9349999999999</v>
      </c>
      <c r="B117">
        <v>289.8</v>
      </c>
      <c r="C117">
        <v>0.01</v>
      </c>
      <c r="E117">
        <v>0.01</v>
      </c>
      <c r="I117">
        <v>53.761000000000003</v>
      </c>
      <c r="J117">
        <v>-164.3</v>
      </c>
      <c r="N117" s="1"/>
      <c r="O117" s="1">
        <v>0</v>
      </c>
    </row>
    <row r="118" spans="1:15">
      <c r="A118">
        <f t="shared" si="8"/>
        <v>2209.4349999999999</v>
      </c>
      <c r="B118">
        <v>297.8</v>
      </c>
      <c r="C118">
        <v>0.01</v>
      </c>
      <c r="E118">
        <v>0.01</v>
      </c>
      <c r="I118">
        <v>54.262999999999998</v>
      </c>
      <c r="J118">
        <v>-166.3</v>
      </c>
      <c r="N118" s="1"/>
      <c r="O118" s="1">
        <v>0</v>
      </c>
    </row>
    <row r="119" spans="1:15">
      <c r="A119">
        <f t="shared" si="8"/>
        <v>2209.9349999999999</v>
      </c>
      <c r="B119">
        <v>306</v>
      </c>
      <c r="C119">
        <v>0.01</v>
      </c>
      <c r="E119">
        <v>0.01</v>
      </c>
      <c r="I119">
        <v>54.706000000000003</v>
      </c>
      <c r="J119">
        <v>-165.3</v>
      </c>
      <c r="N119" s="1"/>
      <c r="O119" s="1">
        <v>-0.06</v>
      </c>
    </row>
    <row r="120" spans="1:15">
      <c r="A120">
        <f t="shared" si="8"/>
        <v>2210.4349999999999</v>
      </c>
      <c r="B120">
        <v>314.39999999999998</v>
      </c>
      <c r="C120">
        <v>0.01</v>
      </c>
      <c r="E120">
        <v>0.01</v>
      </c>
      <c r="I120">
        <v>55.058</v>
      </c>
      <c r="J120">
        <v>-164.8</v>
      </c>
      <c r="N120" s="1"/>
      <c r="O120" s="1">
        <v>-0.1</v>
      </c>
    </row>
    <row r="121" spans="1:15">
      <c r="A121">
        <f t="shared" si="8"/>
        <v>2210.9349999999999</v>
      </c>
      <c r="B121">
        <v>323</v>
      </c>
      <c r="C121">
        <v>0.01</v>
      </c>
      <c r="E121">
        <v>0.01</v>
      </c>
      <c r="I121">
        <v>55.362000000000002</v>
      </c>
      <c r="J121">
        <v>-163.69999999999999</v>
      </c>
      <c r="N121" s="1"/>
      <c r="O121" s="1">
        <v>-0.1</v>
      </c>
    </row>
    <row r="122" spans="1:15">
      <c r="A122">
        <f t="shared" si="8"/>
        <v>2211.4349999999999</v>
      </c>
      <c r="B122">
        <v>331.8</v>
      </c>
      <c r="C122">
        <v>0.01</v>
      </c>
      <c r="E122">
        <v>0.01</v>
      </c>
      <c r="I122">
        <v>55.716999999999999</v>
      </c>
      <c r="J122">
        <v>-164</v>
      </c>
      <c r="N122" s="1"/>
      <c r="O122" s="1">
        <v>-0.1</v>
      </c>
    </row>
    <row r="123" spans="1:15">
      <c r="A123">
        <f t="shared" si="8"/>
        <v>2211.9349999999999</v>
      </c>
      <c r="B123">
        <v>340.8</v>
      </c>
      <c r="C123">
        <v>0.01</v>
      </c>
      <c r="E123">
        <v>0.01</v>
      </c>
      <c r="I123">
        <v>56.238</v>
      </c>
      <c r="J123">
        <v>-164</v>
      </c>
      <c r="N123" s="1"/>
      <c r="O123" s="1">
        <v>-0.1</v>
      </c>
    </row>
    <row r="124" spans="1:15">
      <c r="A124">
        <f t="shared" si="8"/>
        <v>2212.4349999999999</v>
      </c>
      <c r="B124">
        <v>350.2</v>
      </c>
      <c r="C124">
        <v>0.01</v>
      </c>
      <c r="E124">
        <v>0.01</v>
      </c>
      <c r="I124">
        <v>56.978999999999999</v>
      </c>
      <c r="J124">
        <v>-162.80000000000001</v>
      </c>
      <c r="N124" s="1"/>
      <c r="O124" s="1">
        <v>-0.1</v>
      </c>
    </row>
    <row r="125" spans="1:15">
      <c r="A125">
        <f t="shared" si="8"/>
        <v>2212.9349999999999</v>
      </c>
      <c r="B125">
        <v>359.8</v>
      </c>
      <c r="C125">
        <v>0.01</v>
      </c>
      <c r="E125">
        <v>0.01</v>
      </c>
      <c r="I125">
        <v>57.85</v>
      </c>
      <c r="J125">
        <v>-163.30000000000001</v>
      </c>
      <c r="N125" s="1"/>
      <c r="O125" s="1">
        <v>-0.1</v>
      </c>
    </row>
    <row r="126" spans="1:15">
      <c r="A126">
        <f t="shared" si="8"/>
        <v>2213.4349999999999</v>
      </c>
      <c r="B126">
        <v>369.8</v>
      </c>
      <c r="C126">
        <v>0.01</v>
      </c>
      <c r="E126">
        <v>0.01</v>
      </c>
      <c r="I126">
        <v>58.69</v>
      </c>
      <c r="J126">
        <v>-164</v>
      </c>
      <c r="N126" s="1"/>
      <c r="O126" s="1">
        <v>-0.1</v>
      </c>
    </row>
    <row r="127" spans="1:15">
      <c r="A127">
        <f t="shared" si="8"/>
        <v>2213.9349999999999</v>
      </c>
      <c r="B127">
        <v>379.8</v>
      </c>
      <c r="C127">
        <v>0.01</v>
      </c>
      <c r="E127">
        <v>0.01</v>
      </c>
      <c r="I127">
        <v>59.402999999999999</v>
      </c>
      <c r="J127">
        <v>-161.30000000000001</v>
      </c>
      <c r="N127" s="1"/>
      <c r="O127" s="1">
        <v>-0.1</v>
      </c>
    </row>
    <row r="128" spans="1:15">
      <c r="A128">
        <f t="shared" si="8"/>
        <v>2214.4349999999999</v>
      </c>
      <c r="B128">
        <v>390.2</v>
      </c>
      <c r="C128">
        <v>0.01</v>
      </c>
      <c r="E128">
        <v>0.01</v>
      </c>
      <c r="I128">
        <v>60.023000000000003</v>
      </c>
      <c r="J128">
        <v>-160.4</v>
      </c>
      <c r="N128" s="1"/>
      <c r="O128" s="1">
        <v>-0.1</v>
      </c>
    </row>
    <row r="129" spans="1:15">
      <c r="A129">
        <f t="shared" si="8"/>
        <v>2214.9349999999999</v>
      </c>
      <c r="B129">
        <v>400.8</v>
      </c>
      <c r="C129">
        <v>0.01</v>
      </c>
      <c r="E129">
        <v>0.01</v>
      </c>
      <c r="I129">
        <v>60.646999999999998</v>
      </c>
      <c r="J129">
        <v>-164.6</v>
      </c>
      <c r="N129" s="1"/>
      <c r="O129" s="1">
        <v>-0.1</v>
      </c>
    </row>
    <row r="130" spans="1:15">
      <c r="A130">
        <f t="shared" si="8"/>
        <v>2215.4349999999999</v>
      </c>
      <c r="B130">
        <v>411.8</v>
      </c>
      <c r="C130">
        <v>0.01</v>
      </c>
      <c r="E130">
        <v>0.01</v>
      </c>
      <c r="I130">
        <v>61.296999999999997</v>
      </c>
      <c r="J130">
        <v>-167.8</v>
      </c>
      <c r="N130" s="1"/>
      <c r="O130" s="1">
        <v>-0.1</v>
      </c>
    </row>
    <row r="131" spans="1:15">
      <c r="A131">
        <f t="shared" si="8"/>
        <v>2215.9349999999999</v>
      </c>
      <c r="B131">
        <v>423</v>
      </c>
      <c r="C131">
        <v>0.01</v>
      </c>
      <c r="E131">
        <v>0.01</v>
      </c>
      <c r="I131">
        <v>61.914999999999999</v>
      </c>
      <c r="J131">
        <v>-168.9</v>
      </c>
      <c r="N131" s="1"/>
      <c r="O131" s="1">
        <v>-0.115</v>
      </c>
    </row>
    <row r="132" spans="1:15">
      <c r="A132">
        <f t="shared" si="8"/>
        <v>2216.4349999999999</v>
      </c>
      <c r="B132">
        <v>434.8</v>
      </c>
      <c r="C132">
        <v>0.01</v>
      </c>
      <c r="E132">
        <v>0.01</v>
      </c>
      <c r="I132">
        <v>62.456000000000003</v>
      </c>
      <c r="J132">
        <v>-170.3</v>
      </c>
      <c r="N132" s="1"/>
      <c r="O132" s="1">
        <v>-0.17400000000000004</v>
      </c>
    </row>
    <row r="133" spans="1:15">
      <c r="A133">
        <f t="shared" si="8"/>
        <v>2216.9349999999999</v>
      </c>
      <c r="B133">
        <v>446.6</v>
      </c>
      <c r="C133">
        <v>0.01</v>
      </c>
      <c r="E133">
        <v>0.01</v>
      </c>
      <c r="I133">
        <v>62.914999999999999</v>
      </c>
      <c r="J133">
        <v>-172.6</v>
      </c>
      <c r="N133" s="1"/>
      <c r="O133" s="1">
        <v>-0.2</v>
      </c>
    </row>
    <row r="134" spans="1:15">
      <c r="A134">
        <f t="shared" si="8"/>
        <v>2217.4349999999999</v>
      </c>
      <c r="B134">
        <v>458.8</v>
      </c>
      <c r="C134">
        <v>0.01</v>
      </c>
      <c r="E134">
        <v>0.01</v>
      </c>
      <c r="I134">
        <v>63.332000000000001</v>
      </c>
      <c r="J134">
        <v>-174.7</v>
      </c>
      <c r="N134" s="1"/>
      <c r="O134" s="1">
        <v>-0.2</v>
      </c>
    </row>
    <row r="135" spans="1:15">
      <c r="A135">
        <f t="shared" si="8"/>
        <v>2217.9349999999999</v>
      </c>
      <c r="B135">
        <v>471.4</v>
      </c>
      <c r="C135">
        <v>0.01</v>
      </c>
      <c r="E135">
        <v>0.01</v>
      </c>
      <c r="I135">
        <v>63.731999999999999</v>
      </c>
      <c r="J135">
        <v>-175.3</v>
      </c>
      <c r="N135" s="1"/>
      <c r="O135" s="1">
        <v>-0.2</v>
      </c>
    </row>
    <row r="136" spans="1:15">
      <c r="A136">
        <f t="shared" si="8"/>
        <v>2218.4349999999999</v>
      </c>
      <c r="B136">
        <v>484.2</v>
      </c>
      <c r="C136">
        <v>0.01</v>
      </c>
      <c r="E136">
        <v>0.01</v>
      </c>
      <c r="I136">
        <v>64.123999999999995</v>
      </c>
      <c r="J136">
        <v>-175</v>
      </c>
      <c r="N136" s="1"/>
      <c r="O136" s="1">
        <v>-0.2</v>
      </c>
    </row>
    <row r="137" spans="1:15">
      <c r="A137">
        <f t="shared" si="8"/>
        <v>2218.9349999999999</v>
      </c>
      <c r="B137">
        <v>497.6</v>
      </c>
      <c r="C137">
        <v>0.01</v>
      </c>
      <c r="E137">
        <v>0.01</v>
      </c>
      <c r="I137">
        <v>64.552999999999997</v>
      </c>
      <c r="J137">
        <v>-175.7</v>
      </c>
      <c r="N137" s="1"/>
      <c r="O137" s="1">
        <v>-0.2</v>
      </c>
    </row>
    <row r="138" spans="1:15">
      <c r="A138">
        <f t="shared" si="8"/>
        <v>2219.4349999999999</v>
      </c>
      <c r="B138">
        <v>511.2</v>
      </c>
      <c r="C138">
        <v>0.01</v>
      </c>
      <c r="E138">
        <v>0.01</v>
      </c>
      <c r="I138">
        <v>65.075999999999993</v>
      </c>
      <c r="J138">
        <v>-176.8</v>
      </c>
      <c r="N138" s="1"/>
      <c r="O138" s="1">
        <v>-0.2</v>
      </c>
    </row>
    <row r="139" spans="1:15">
      <c r="A139">
        <f t="shared" si="8"/>
        <v>2219.9349999999999</v>
      </c>
      <c r="B139">
        <v>525.20000000000005</v>
      </c>
      <c r="C139">
        <v>0.01</v>
      </c>
      <c r="E139">
        <v>0.01</v>
      </c>
      <c r="I139">
        <v>65.697999999999993</v>
      </c>
      <c r="J139">
        <v>-177.6</v>
      </c>
      <c r="N139" s="1"/>
      <c r="O139" s="1">
        <v>-0.2</v>
      </c>
    </row>
    <row r="140" spans="1:15">
      <c r="A140">
        <f t="shared" si="8"/>
        <v>2220.4349999999999</v>
      </c>
      <c r="B140">
        <v>539.6</v>
      </c>
      <c r="C140">
        <v>0.01</v>
      </c>
      <c r="E140">
        <v>0.01</v>
      </c>
      <c r="I140">
        <v>66.366</v>
      </c>
      <c r="J140">
        <v>-179</v>
      </c>
      <c r="N140" s="1"/>
      <c r="O140" s="1">
        <v>-0.2</v>
      </c>
    </row>
    <row r="141" spans="1:15">
      <c r="A141">
        <f t="shared" si="8"/>
        <v>2220.9349999999999</v>
      </c>
      <c r="B141">
        <v>554.4</v>
      </c>
      <c r="C141">
        <v>0.01</v>
      </c>
      <c r="E141">
        <v>0.01</v>
      </c>
      <c r="I141">
        <v>67.013999999999996</v>
      </c>
      <c r="J141">
        <v>179.82</v>
      </c>
      <c r="N141" s="1"/>
      <c r="O141" s="1">
        <v>-0.2</v>
      </c>
    </row>
    <row r="142" spans="1:15">
      <c r="A142">
        <f t="shared" si="8"/>
        <v>2221.4349999999999</v>
      </c>
      <c r="B142">
        <v>569.6</v>
      </c>
      <c r="C142">
        <v>0.01</v>
      </c>
      <c r="E142">
        <v>0.01</v>
      </c>
      <c r="I142">
        <v>67.650999999999996</v>
      </c>
      <c r="J142">
        <v>177.71</v>
      </c>
      <c r="N142" s="1"/>
      <c r="O142" s="1">
        <v>-0.2</v>
      </c>
    </row>
    <row r="143" spans="1:15">
      <c r="A143">
        <f t="shared" si="8"/>
        <v>2221.9349999999999</v>
      </c>
      <c r="B143">
        <v>585</v>
      </c>
      <c r="C143">
        <v>0.01</v>
      </c>
      <c r="E143">
        <v>0.01</v>
      </c>
      <c r="I143">
        <v>68.346000000000004</v>
      </c>
      <c r="J143">
        <v>175.83</v>
      </c>
      <c r="N143" s="1"/>
      <c r="O143" s="1">
        <v>-0.2</v>
      </c>
    </row>
    <row r="144" spans="1:15">
      <c r="A144">
        <f t="shared" si="8"/>
        <v>2222.4349999999999</v>
      </c>
      <c r="B144">
        <v>601</v>
      </c>
      <c r="C144">
        <v>0.01</v>
      </c>
      <c r="E144">
        <v>0.01</v>
      </c>
      <c r="I144">
        <v>69.134</v>
      </c>
      <c r="J144">
        <v>173.77</v>
      </c>
      <c r="N144" s="1"/>
      <c r="O144" s="1">
        <v>-0.19750000000000001</v>
      </c>
    </row>
    <row r="145" spans="1:24">
      <c r="A145">
        <f t="shared" si="8"/>
        <v>2222.9349999999999</v>
      </c>
      <c r="B145">
        <v>617.6</v>
      </c>
      <c r="C145">
        <v>0.01</v>
      </c>
      <c r="E145">
        <v>0.01</v>
      </c>
      <c r="I145">
        <v>69.947000000000003</v>
      </c>
      <c r="J145">
        <v>170.83</v>
      </c>
      <c r="N145" s="1"/>
      <c r="O145" s="1">
        <v>-0.15599999999999994</v>
      </c>
    </row>
    <row r="146" spans="1:24">
      <c r="A146">
        <f t="shared" si="8"/>
        <v>2223.4349999999999</v>
      </c>
      <c r="B146">
        <v>634.6</v>
      </c>
      <c r="C146">
        <v>0.01</v>
      </c>
      <c r="E146">
        <v>0.01</v>
      </c>
      <c r="I146">
        <v>70.661000000000001</v>
      </c>
      <c r="J146">
        <v>171.11</v>
      </c>
      <c r="N146" s="1"/>
      <c r="O146" s="1">
        <v>-0.11349999999999995</v>
      </c>
    </row>
    <row r="147" spans="1:24">
      <c r="A147">
        <f t="shared" si="8"/>
        <v>2223.9349999999999</v>
      </c>
      <c r="B147">
        <v>652</v>
      </c>
      <c r="C147">
        <v>0.01</v>
      </c>
      <c r="E147">
        <v>0.01</v>
      </c>
      <c r="I147">
        <v>71.228999999999999</v>
      </c>
      <c r="J147">
        <v>171.15</v>
      </c>
      <c r="N147" s="1"/>
      <c r="O147" s="1">
        <v>-0.1</v>
      </c>
    </row>
    <row r="148" spans="1:24">
      <c r="A148">
        <f t="shared" ref="A148:A211" si="9">+A147+0.5</f>
        <v>2224.4349999999999</v>
      </c>
      <c r="B148">
        <v>669.8</v>
      </c>
      <c r="C148">
        <v>0.01</v>
      </c>
      <c r="E148">
        <v>0.01</v>
      </c>
      <c r="I148">
        <v>71.715999999999994</v>
      </c>
      <c r="J148">
        <v>169.08</v>
      </c>
      <c r="N148" s="1"/>
      <c r="O148" s="1">
        <v>-0.1</v>
      </c>
    </row>
    <row r="149" spans="1:24">
      <c r="A149">
        <f t="shared" si="9"/>
        <v>2224.9349999999999</v>
      </c>
      <c r="B149">
        <v>688</v>
      </c>
      <c r="C149">
        <v>0.01</v>
      </c>
      <c r="E149">
        <v>0.01</v>
      </c>
      <c r="I149">
        <v>72.216999999999999</v>
      </c>
      <c r="J149">
        <v>168.08</v>
      </c>
      <c r="N149" s="1"/>
      <c r="O149" s="1">
        <v>-0.08</v>
      </c>
    </row>
    <row r="150" spans="1:24">
      <c r="A150">
        <f t="shared" si="9"/>
        <v>2225.4349999999999</v>
      </c>
      <c r="B150">
        <v>707</v>
      </c>
      <c r="C150">
        <v>4.5</v>
      </c>
      <c r="D150">
        <v>350</v>
      </c>
      <c r="E150">
        <v>4</v>
      </c>
      <c r="F150">
        <v>325</v>
      </c>
      <c r="G150">
        <v>4.5</v>
      </c>
      <c r="H150">
        <v>335</v>
      </c>
      <c r="I150">
        <v>72.759</v>
      </c>
      <c r="J150">
        <v>167.91</v>
      </c>
      <c r="N150" s="1"/>
      <c r="O150" s="1">
        <v>-3.2500000000000001E-2</v>
      </c>
      <c r="P150">
        <f>20*LOG(P$12*$C150/0.00002)-$N150-$O150+P$4</f>
        <v>76.634849046414715</v>
      </c>
      <c r="Q150">
        <f>20*LOG(Q$12*$E150/0.00002)-$N150-$O150+Q$4</f>
        <v>73.611798597467086</v>
      </c>
      <c r="R150">
        <f>20*LOG(R$12*$G150/0.00002)-$N150-$O150+R$4</f>
        <v>74.634849046414715</v>
      </c>
      <c r="V150">
        <f t="shared" ref="V150" si="10">(D150/360+V$4/V$5*$B150+0.5*V$6-INT(D150/360+V$4/V$5*$B150+0.5*V$6)+IF(D150/360+V$4/V$5*$B150+0.5*V$6-INT(D150/360+V$4/V$5*$B150+0.5*V$6)&gt;0.5,-1,0))*360</f>
        <v>-167.36578828369667</v>
      </c>
      <c r="W150">
        <f t="shared" ref="W150" si="11">(F150/360+W$4/W$5*$B150+0.5*W$6-INT(F150/360+W$4/W$5*$B150+0.5*W$6)+IF(F150/360+W$4/W$5*$B150+0.5*W$6-INT(F150/360+W$4/W$5*$B150+0.5*W$6)&gt;0.5,-1,0))*360</f>
        <v>167.63421171630324</v>
      </c>
      <c r="X150">
        <f t="shared" ref="X150" si="12">(H150/360+X$4/X$5*$B150+0.5*X$6-INT(H150/360+X$4/X$5*$B150+0.5*X$6)+IF(H150/360+X$4/X$5*$B150+0.5*X$6-INT(H150/360+X$4/X$5*$B150+0.5*X$6)&gt;0.5,-1,0))*360</f>
        <v>177.63421171630338</v>
      </c>
    </row>
    <row r="151" spans="1:24">
      <c r="A151">
        <f t="shared" si="9"/>
        <v>2225.9349999999999</v>
      </c>
      <c r="B151">
        <v>726.4</v>
      </c>
      <c r="C151">
        <v>4.8</v>
      </c>
      <c r="D151">
        <v>320</v>
      </c>
      <c r="E151">
        <v>4.4000000000000004</v>
      </c>
      <c r="F151">
        <v>300</v>
      </c>
      <c r="G151">
        <v>4.7</v>
      </c>
      <c r="H151">
        <v>310</v>
      </c>
      <c r="I151">
        <v>73.307000000000002</v>
      </c>
      <c r="J151">
        <v>162.81</v>
      </c>
      <c r="K151">
        <f>+F150-F151</f>
        <v>25</v>
      </c>
      <c r="N151" s="1"/>
      <c r="O151" s="1">
        <v>1.2799999999999957E-2</v>
      </c>
      <c r="P151">
        <f t="shared" ref="P151:P214" si="13">20*LOG(P$12*$C151/0.00002)-$N151-$O151+P$4</f>
        <v>77.150123518419591</v>
      </c>
      <c r="Q151">
        <f t="shared" ref="Q151:Q214" si="14">20*LOG(Q$12*$E151/0.00002)-$N151-$O151+Q$4</f>
        <v>74.394352300631596</v>
      </c>
      <c r="R151">
        <f t="shared" ref="R151:R214" si="15">20*LOG(R$12*$G151/0.00002)-$N151-$O151+R$4</f>
        <v>74.967255929622198</v>
      </c>
      <c r="V151">
        <f t="shared" ref="V151:V214" si="16">(D151/360+V$4/V$5*$B151+0.5*V$6-INT(D151/360+V$4/V$5*$B151+0.5*V$6)+IF(D151/360+V$4/V$5*$B151+0.5*V$6-INT(D151/360+V$4/V$5*$B151+0.5*V$6)&gt;0.5,-1,0))*360</f>
        <v>-176.98798954636101</v>
      </c>
      <c r="W151">
        <f t="shared" ref="W151:W214" si="17">(F151/360+W$4/W$5*$B151+0.5*W$6-INT(F151/360+W$4/W$5*$B151+0.5*W$6)+IF(F151/360+W$4/W$5*$B151+0.5*W$6-INT(F151/360+W$4/W$5*$B151+0.5*W$6)&gt;0.5,-1,0))*360</f>
        <v>163.01201045363905</v>
      </c>
      <c r="X151">
        <f t="shared" ref="X151:X214" si="18">(H151/360+X$4/X$5*$B151+0.5*X$6-INT(H151/360+X$4/X$5*$B151+0.5*X$6)+IF(H151/360+X$4/X$5*$B151+0.5*X$6-INT(H151/360+X$4/X$5*$B151+0.5*X$6)&gt;0.5,-1,0))*360</f>
        <v>173.01201045363902</v>
      </c>
    </row>
    <row r="152" spans="1:24">
      <c r="A152">
        <f t="shared" si="9"/>
        <v>2226.4349999999999</v>
      </c>
      <c r="B152">
        <v>746.2</v>
      </c>
      <c r="C152">
        <v>5.2</v>
      </c>
      <c r="D152">
        <v>290</v>
      </c>
      <c r="E152">
        <v>4.8</v>
      </c>
      <c r="F152">
        <v>270</v>
      </c>
      <c r="G152">
        <v>5</v>
      </c>
      <c r="H152">
        <v>280</v>
      </c>
      <c r="I152">
        <v>73.850999999999999</v>
      </c>
      <c r="J152">
        <v>157.58000000000001</v>
      </c>
      <c r="K152">
        <f t="shared" ref="K152:K215" si="19">+F151-F152</f>
        <v>30</v>
      </c>
      <c r="N152" s="1"/>
      <c r="O152" s="1">
        <v>5.2400000000000092E-2</v>
      </c>
      <c r="P152">
        <f t="shared" si="13"/>
        <v>77.80576564360382</v>
      </c>
      <c r="Q152">
        <f t="shared" si="14"/>
        <v>75.110523518419583</v>
      </c>
      <c r="R152">
        <f t="shared" si="15"/>
        <v>75.46509885762822</v>
      </c>
      <c r="V152">
        <f t="shared" si="16"/>
        <v>173.80996998968246</v>
      </c>
      <c r="W152">
        <f t="shared" si="17"/>
        <v>153.80996998968254</v>
      </c>
      <c r="X152">
        <f t="shared" si="18"/>
        <v>163.80996998968249</v>
      </c>
    </row>
    <row r="153" spans="1:24">
      <c r="A153">
        <f t="shared" si="9"/>
        <v>2226.9349999999999</v>
      </c>
      <c r="B153">
        <v>766.6</v>
      </c>
      <c r="C153">
        <v>5.5</v>
      </c>
      <c r="D153">
        <v>270</v>
      </c>
      <c r="E153">
        <v>5.2</v>
      </c>
      <c r="F153">
        <v>240</v>
      </c>
      <c r="G153">
        <v>5.4</v>
      </c>
      <c r="H153">
        <v>255</v>
      </c>
      <c r="I153">
        <v>74.448999999999998</v>
      </c>
      <c r="J153">
        <v>165.4</v>
      </c>
      <c r="K153">
        <f t="shared" si="19"/>
        <v>30</v>
      </c>
      <c r="N153" s="1"/>
      <c r="O153" s="1">
        <v>9.3200000000000061E-2</v>
      </c>
      <c r="P153">
        <f t="shared" si="13"/>
        <v>78.252152560792723</v>
      </c>
      <c r="Q153">
        <f t="shared" si="14"/>
        <v>75.76496564360383</v>
      </c>
      <c r="R153">
        <f t="shared" si="15"/>
        <v>76.092773967367222</v>
      </c>
      <c r="V153">
        <f t="shared" si="16"/>
        <v>175.23817072378804</v>
      </c>
      <c r="W153">
        <f t="shared" si="17"/>
        <v>145.23817072378799</v>
      </c>
      <c r="X153">
        <f t="shared" si="18"/>
        <v>160.2381707237881</v>
      </c>
    </row>
    <row r="154" spans="1:24">
      <c r="A154">
        <f t="shared" si="9"/>
        <v>2227.4349999999999</v>
      </c>
      <c r="B154">
        <v>787.6</v>
      </c>
      <c r="C154">
        <v>6</v>
      </c>
      <c r="D154">
        <v>250</v>
      </c>
      <c r="E154">
        <v>5.5</v>
      </c>
      <c r="F154">
        <v>215</v>
      </c>
      <c r="G154">
        <v>5.8</v>
      </c>
      <c r="H154">
        <v>230</v>
      </c>
      <c r="I154">
        <v>75.159000000000006</v>
      </c>
      <c r="J154">
        <v>169.71</v>
      </c>
      <c r="K154">
        <f t="shared" si="19"/>
        <v>25</v>
      </c>
      <c r="N154" s="1"/>
      <c r="O154" s="1">
        <v>0.1</v>
      </c>
      <c r="P154">
        <f t="shared" si="13"/>
        <v>79.00112377858072</v>
      </c>
      <c r="Q154">
        <f t="shared" si="14"/>
        <v>76.245352560792725</v>
      </c>
      <c r="R154">
        <f t="shared" si="15"/>
        <v>76.706658642166587</v>
      </c>
      <c r="V154">
        <f t="shared" si="16"/>
        <v>177.29661265595558</v>
      </c>
      <c r="W154">
        <f t="shared" si="17"/>
        <v>142.29661265595556</v>
      </c>
      <c r="X154">
        <f t="shared" si="18"/>
        <v>157.2966126559555</v>
      </c>
    </row>
    <row r="155" spans="1:24">
      <c r="A155">
        <f t="shared" si="9"/>
        <v>2227.9349999999999</v>
      </c>
      <c r="B155">
        <v>809.2</v>
      </c>
      <c r="C155">
        <v>6.5</v>
      </c>
      <c r="D155">
        <v>225</v>
      </c>
      <c r="E155">
        <v>5.8</v>
      </c>
      <c r="F155">
        <v>200</v>
      </c>
      <c r="G155">
        <v>6.3</v>
      </c>
      <c r="H155">
        <v>205</v>
      </c>
      <c r="I155">
        <v>75.989000000000004</v>
      </c>
      <c r="J155">
        <v>166.84</v>
      </c>
      <c r="K155">
        <f t="shared" si="19"/>
        <v>15</v>
      </c>
      <c r="N155" s="1"/>
      <c r="O155" s="1">
        <v>0.1</v>
      </c>
      <c r="P155">
        <f t="shared" si="13"/>
        <v>79.696365903764956</v>
      </c>
      <c r="Q155">
        <f t="shared" si="14"/>
        <v>76.706658642166587</v>
      </c>
      <c r="R155">
        <f t="shared" si="15"/>
        <v>77.424909759979485</v>
      </c>
      <c r="V155">
        <f t="shared" si="16"/>
        <v>174.98529578618482</v>
      </c>
      <c r="W155">
        <f t="shared" si="17"/>
        <v>149.98529578618491</v>
      </c>
      <c r="X155">
        <f t="shared" si="18"/>
        <v>154.98529578618474</v>
      </c>
    </row>
    <row r="156" spans="1:24">
      <c r="A156">
        <f t="shared" si="9"/>
        <v>2228.4349999999999</v>
      </c>
      <c r="B156">
        <v>831.4</v>
      </c>
      <c r="C156">
        <v>7</v>
      </c>
      <c r="D156">
        <v>200</v>
      </c>
      <c r="E156">
        <v>6.2</v>
      </c>
      <c r="F156">
        <v>185</v>
      </c>
      <c r="G156">
        <v>6.7</v>
      </c>
      <c r="H156">
        <v>185</v>
      </c>
      <c r="I156">
        <v>76.89</v>
      </c>
      <c r="J156">
        <v>164.24</v>
      </c>
      <c r="K156">
        <f t="shared" si="19"/>
        <v>15</v>
      </c>
      <c r="N156" s="1"/>
      <c r="O156" s="1">
        <v>7.7200000000000046E-2</v>
      </c>
      <c r="P156">
        <f t="shared" si="13"/>
        <v>80.362859571192971</v>
      </c>
      <c r="Q156">
        <f t="shared" si="14"/>
        <v>77.308732560872926</v>
      </c>
      <c r="R156">
        <f t="shared" si="15"/>
        <v>77.98239482492437</v>
      </c>
      <c r="V156">
        <f t="shared" si="16"/>
        <v>173.30422011447604</v>
      </c>
      <c r="W156">
        <f t="shared" si="17"/>
        <v>158.30422011447607</v>
      </c>
      <c r="X156">
        <f t="shared" si="18"/>
        <v>158.30422011447607</v>
      </c>
    </row>
    <row r="157" spans="1:24">
      <c r="A157">
        <f t="shared" si="9"/>
        <v>2228.9349999999999</v>
      </c>
      <c r="B157">
        <v>854</v>
      </c>
      <c r="C157">
        <v>7.6</v>
      </c>
      <c r="D157">
        <v>175</v>
      </c>
      <c r="E157">
        <v>6.5</v>
      </c>
      <c r="F157">
        <v>155</v>
      </c>
      <c r="G157">
        <v>7.2</v>
      </c>
      <c r="H157">
        <v>165</v>
      </c>
      <c r="I157">
        <v>77.778000000000006</v>
      </c>
      <c r="J157">
        <v>160.72999999999999</v>
      </c>
      <c r="K157">
        <f t="shared" si="19"/>
        <v>30</v>
      </c>
      <c r="N157" s="1"/>
      <c r="O157" s="1">
        <v>3.2000000000000001E-2</v>
      </c>
      <c r="P157">
        <f t="shared" si="13"/>
        <v>81.122370616523668</v>
      </c>
      <c r="Q157">
        <f t="shared" si="14"/>
        <v>77.764365903764954</v>
      </c>
      <c r="R157">
        <f t="shared" si="15"/>
        <v>78.65274869953322</v>
      </c>
      <c r="V157">
        <f t="shared" si="16"/>
        <v>172.04330524147537</v>
      </c>
      <c r="W157">
        <f t="shared" si="17"/>
        <v>152.04330524147542</v>
      </c>
      <c r="X157">
        <f t="shared" si="18"/>
        <v>162.04330524147539</v>
      </c>
    </row>
    <row r="158" spans="1:24">
      <c r="A158">
        <f t="shared" si="9"/>
        <v>2229.4349999999999</v>
      </c>
      <c r="B158">
        <v>877.4</v>
      </c>
      <c r="C158">
        <v>8.1999999999999993</v>
      </c>
      <c r="D158">
        <v>150</v>
      </c>
      <c r="E158">
        <v>6.8</v>
      </c>
      <c r="F158">
        <v>125</v>
      </c>
      <c r="G158">
        <v>7.5</v>
      </c>
      <c r="H158">
        <v>135</v>
      </c>
      <c r="I158">
        <v>78.575999999999993</v>
      </c>
      <c r="J158">
        <v>156.13999999999999</v>
      </c>
      <c r="K158">
        <f t="shared" si="19"/>
        <v>30</v>
      </c>
      <c r="N158" s="1"/>
      <c r="O158" s="1">
        <v>0</v>
      </c>
      <c r="P158">
        <f t="shared" si="13"/>
        <v>81.814375818582178</v>
      </c>
      <c r="Q158">
        <f t="shared" si="14"/>
        <v>78.188277025032576</v>
      </c>
      <c r="R158">
        <f t="shared" si="15"/>
        <v>79.039324038741853</v>
      </c>
      <c r="V158">
        <f t="shared" si="16"/>
        <v>171.62271196589035</v>
      </c>
      <c r="W158">
        <f t="shared" si="17"/>
        <v>146.62271196589043</v>
      </c>
      <c r="X158">
        <f t="shared" si="18"/>
        <v>156.6227119658904</v>
      </c>
    </row>
    <row r="159" spans="1:24">
      <c r="A159">
        <f t="shared" si="9"/>
        <v>2229.9349999999999</v>
      </c>
      <c r="B159">
        <v>901.6</v>
      </c>
      <c r="C159">
        <v>9</v>
      </c>
      <c r="D159">
        <v>125</v>
      </c>
      <c r="E159">
        <v>7.1</v>
      </c>
      <c r="F159">
        <v>95</v>
      </c>
      <c r="G159">
        <v>8</v>
      </c>
      <c r="H159">
        <v>105</v>
      </c>
      <c r="I159">
        <v>79.19</v>
      </c>
      <c r="J159">
        <v>150.74</v>
      </c>
      <c r="K159">
        <f t="shared" si="19"/>
        <v>30</v>
      </c>
      <c r="N159" s="1"/>
      <c r="O159" s="1">
        <v>0</v>
      </c>
      <c r="P159">
        <f t="shared" si="13"/>
        <v>82.622948959694341</v>
      </c>
      <c r="Q159">
        <f t="shared" si="14"/>
        <v>78.563265745289343</v>
      </c>
      <c r="R159">
        <f t="shared" si="15"/>
        <v>79.599898510746712</v>
      </c>
      <c r="V159">
        <f t="shared" si="16"/>
        <v>172.04244028772163</v>
      </c>
      <c r="W159">
        <f t="shared" si="17"/>
        <v>142.04244028772158</v>
      </c>
      <c r="X159">
        <f t="shared" si="18"/>
        <v>152.04244028772155</v>
      </c>
    </row>
    <row r="160" spans="1:24">
      <c r="A160">
        <f t="shared" si="9"/>
        <v>2230.4349999999999</v>
      </c>
      <c r="B160">
        <v>926.2</v>
      </c>
      <c r="C160">
        <v>10</v>
      </c>
      <c r="D160">
        <v>90</v>
      </c>
      <c r="E160">
        <v>7.5</v>
      </c>
      <c r="F160">
        <v>65</v>
      </c>
      <c r="G160">
        <v>8.5</v>
      </c>
      <c r="H160">
        <v>80</v>
      </c>
      <c r="I160">
        <v>79.578000000000003</v>
      </c>
      <c r="J160">
        <v>145.33000000000001</v>
      </c>
      <c r="K160">
        <f t="shared" si="19"/>
        <v>30</v>
      </c>
      <c r="N160" s="1"/>
      <c r="O160" s="1">
        <v>0</v>
      </c>
      <c r="P160">
        <f t="shared" si="13"/>
        <v>83.538098770907837</v>
      </c>
      <c r="Q160">
        <f t="shared" si="14"/>
        <v>79.039324038741853</v>
      </c>
      <c r="R160">
        <f t="shared" si="15"/>
        <v>80.126477285193701</v>
      </c>
      <c r="V160">
        <f t="shared" si="16"/>
        <v>162.8823294082606</v>
      </c>
      <c r="W160">
        <f t="shared" si="17"/>
        <v>137.88232940826052</v>
      </c>
      <c r="X160">
        <f t="shared" si="18"/>
        <v>152.88232940826063</v>
      </c>
    </row>
    <row r="161" spans="1:24">
      <c r="A161">
        <f t="shared" si="9"/>
        <v>2230.9349999999999</v>
      </c>
      <c r="B161">
        <v>951.4</v>
      </c>
      <c r="C161">
        <v>11</v>
      </c>
      <c r="D161">
        <v>55</v>
      </c>
      <c r="E161">
        <v>7.9</v>
      </c>
      <c r="F161">
        <v>30</v>
      </c>
      <c r="G161">
        <v>9</v>
      </c>
      <c r="H161">
        <v>50</v>
      </c>
      <c r="I161">
        <v>79.816999999999993</v>
      </c>
      <c r="J161">
        <v>144.27000000000001</v>
      </c>
      <c r="K161">
        <f t="shared" si="19"/>
        <v>35</v>
      </c>
      <c r="N161" s="1"/>
      <c r="O161" s="1">
        <v>0</v>
      </c>
      <c r="P161">
        <f t="shared" si="13"/>
        <v>84.365952474072344</v>
      </c>
      <c r="Q161">
        <f t="shared" si="14"/>
        <v>79.490640596716673</v>
      </c>
      <c r="R161">
        <f t="shared" si="15"/>
        <v>80.622948959694327</v>
      </c>
      <c r="V161">
        <f t="shared" si="16"/>
        <v>154.35245972686138</v>
      </c>
      <c r="W161">
        <f t="shared" si="17"/>
        <v>129.35245972686147</v>
      </c>
      <c r="X161">
        <f t="shared" si="18"/>
        <v>149.35245972686141</v>
      </c>
    </row>
    <row r="162" spans="1:24">
      <c r="A162">
        <f t="shared" si="9"/>
        <v>2231.4349999999999</v>
      </c>
      <c r="B162">
        <v>977.6</v>
      </c>
      <c r="C162">
        <v>11.5</v>
      </c>
      <c r="D162">
        <v>30</v>
      </c>
      <c r="E162">
        <v>8.5</v>
      </c>
      <c r="F162">
        <v>0</v>
      </c>
      <c r="G162">
        <v>9.8000000000000007</v>
      </c>
      <c r="H162">
        <v>20</v>
      </c>
      <c r="I162">
        <v>80.013000000000005</v>
      </c>
      <c r="J162">
        <v>143.94</v>
      </c>
      <c r="K162">
        <f t="shared" si="19"/>
        <v>30</v>
      </c>
      <c r="N162" s="1"/>
      <c r="O162" s="1">
        <v>0</v>
      </c>
      <c r="P162">
        <f t="shared" si="13"/>
        <v>84.752055577980073</v>
      </c>
      <c r="Q162">
        <f t="shared" si="14"/>
        <v>80.126477285193701</v>
      </c>
      <c r="R162">
        <f t="shared" si="15"/>
        <v>81.362620284757753</v>
      </c>
      <c r="V162">
        <f t="shared" si="16"/>
        <v>156.87299204223226</v>
      </c>
      <c r="W162">
        <f t="shared" si="17"/>
        <v>126.8729920422322</v>
      </c>
      <c r="X162">
        <f t="shared" si="18"/>
        <v>146.87299204223211</v>
      </c>
    </row>
    <row r="163" spans="1:24">
      <c r="A163">
        <f t="shared" si="9"/>
        <v>2231.9349999999999</v>
      </c>
      <c r="B163">
        <v>1004.4</v>
      </c>
      <c r="C163">
        <v>12.5</v>
      </c>
      <c r="D163">
        <v>5</v>
      </c>
      <c r="E163">
        <v>9</v>
      </c>
      <c r="F163">
        <v>335</v>
      </c>
      <c r="G163">
        <v>10.5</v>
      </c>
      <c r="H163">
        <v>350</v>
      </c>
      <c r="I163">
        <v>80.304000000000002</v>
      </c>
      <c r="J163">
        <v>142.81</v>
      </c>
      <c r="K163">
        <f t="shared" si="19"/>
        <v>-335</v>
      </c>
      <c r="N163" s="1"/>
      <c r="O163" s="1">
        <v>0</v>
      </c>
      <c r="P163">
        <f t="shared" si="13"/>
        <v>85.476299031068962</v>
      </c>
      <c r="Q163">
        <f t="shared" si="14"/>
        <v>80.622948959694327</v>
      </c>
      <c r="R163">
        <f t="shared" si="15"/>
        <v>81.961884752306617</v>
      </c>
      <c r="V163">
        <f t="shared" si="16"/>
        <v>160.02376555566491</v>
      </c>
      <c r="W163">
        <f t="shared" si="17"/>
        <v>130.02376555566502</v>
      </c>
      <c r="X163">
        <f t="shared" si="18"/>
        <v>145.02376555566514</v>
      </c>
    </row>
    <row r="164" spans="1:24">
      <c r="A164">
        <f t="shared" si="9"/>
        <v>2232.4349999999999</v>
      </c>
      <c r="B164">
        <v>1031.8</v>
      </c>
      <c r="C164">
        <v>13.8</v>
      </c>
      <c r="D164">
        <v>335</v>
      </c>
      <c r="E164">
        <v>9.5</v>
      </c>
      <c r="F164">
        <v>305</v>
      </c>
      <c r="G164">
        <v>11.3</v>
      </c>
      <c r="H164">
        <v>320</v>
      </c>
      <c r="I164">
        <v>80.817999999999998</v>
      </c>
      <c r="J164">
        <v>141.47999999999999</v>
      </c>
      <c r="K164">
        <f t="shared" si="19"/>
        <v>30</v>
      </c>
      <c r="N164" s="1"/>
      <c r="O164" s="1">
        <v>0</v>
      </c>
      <c r="P164">
        <f t="shared" si="13"/>
        <v>86.335680498932575</v>
      </c>
      <c r="Q164">
        <f t="shared" si="14"/>
        <v>81.092570876684803</v>
      </c>
      <c r="R164">
        <f t="shared" si="15"/>
        <v>82.599667640576243</v>
      </c>
      <c r="V164">
        <f t="shared" si="16"/>
        <v>158.8047802671596</v>
      </c>
      <c r="W164">
        <f t="shared" si="17"/>
        <v>128.80478026715969</v>
      </c>
      <c r="X164">
        <f t="shared" si="18"/>
        <v>143.80478026715949</v>
      </c>
    </row>
    <row r="165" spans="1:24">
      <c r="A165">
        <f t="shared" si="9"/>
        <v>2232.9349999999999</v>
      </c>
      <c r="B165">
        <v>1060.2</v>
      </c>
      <c r="C165">
        <v>15.8</v>
      </c>
      <c r="D165">
        <v>300</v>
      </c>
      <c r="E165">
        <v>10</v>
      </c>
      <c r="F165">
        <v>275</v>
      </c>
      <c r="G165">
        <v>12.2</v>
      </c>
      <c r="H165">
        <v>290</v>
      </c>
      <c r="I165">
        <v>81.569000000000003</v>
      </c>
      <c r="J165">
        <v>139.77000000000001</v>
      </c>
      <c r="K165">
        <f t="shared" si="19"/>
        <v>30</v>
      </c>
      <c r="N165" s="1"/>
      <c r="O165" s="1">
        <v>0</v>
      </c>
      <c r="P165">
        <f t="shared" si="13"/>
        <v>87.511240509996298</v>
      </c>
      <c r="Q165">
        <f t="shared" si="14"/>
        <v>81.538098770907851</v>
      </c>
      <c r="R165">
        <f t="shared" si="15"/>
        <v>83.265295384402819</v>
      </c>
      <c r="V165">
        <f t="shared" si="16"/>
        <v>153.63619697542407</v>
      </c>
      <c r="W165">
        <f t="shared" si="17"/>
        <v>128.63619697542401</v>
      </c>
      <c r="X165">
        <f t="shared" si="18"/>
        <v>143.63619697542413</v>
      </c>
    </row>
    <row r="166" spans="1:24">
      <c r="A166">
        <f t="shared" si="9"/>
        <v>2233.4349999999999</v>
      </c>
      <c r="B166">
        <v>1089.2</v>
      </c>
      <c r="C166">
        <v>17</v>
      </c>
      <c r="D166">
        <v>260</v>
      </c>
      <c r="E166">
        <v>10.5</v>
      </c>
      <c r="F166">
        <v>245</v>
      </c>
      <c r="G166">
        <v>13</v>
      </c>
      <c r="H166">
        <v>255</v>
      </c>
      <c r="I166">
        <v>82.433000000000007</v>
      </c>
      <c r="J166">
        <v>136.56</v>
      </c>
      <c r="K166">
        <f t="shared" si="19"/>
        <v>30</v>
      </c>
      <c r="N166" s="1"/>
      <c r="O166" s="1">
        <v>0</v>
      </c>
      <c r="P166">
        <f t="shared" si="13"/>
        <v>88.147077198473326</v>
      </c>
      <c r="Q166">
        <f t="shared" si="14"/>
        <v>81.961884752306617</v>
      </c>
      <c r="R166">
        <f t="shared" si="15"/>
        <v>83.81696581704459</v>
      </c>
      <c r="V166">
        <f t="shared" si="16"/>
        <v>144.09785488175038</v>
      </c>
      <c r="W166">
        <f t="shared" si="17"/>
        <v>129.09785488175061</v>
      </c>
      <c r="X166">
        <f t="shared" si="18"/>
        <v>139.09785488175058</v>
      </c>
    </row>
    <row r="167" spans="1:24">
      <c r="A167">
        <f t="shared" si="9"/>
        <v>2233.9349999999999</v>
      </c>
      <c r="B167">
        <v>1118.8</v>
      </c>
      <c r="C167">
        <v>18.2</v>
      </c>
      <c r="D167">
        <v>225</v>
      </c>
      <c r="E167">
        <v>11</v>
      </c>
      <c r="F167">
        <v>210</v>
      </c>
      <c r="G167">
        <v>14</v>
      </c>
      <c r="H167">
        <v>220</v>
      </c>
      <c r="I167">
        <v>83.191999999999993</v>
      </c>
      <c r="J167">
        <v>132.08000000000001</v>
      </c>
      <c r="K167">
        <f t="shared" si="19"/>
        <v>35</v>
      </c>
      <c r="N167" s="1"/>
      <c r="O167" s="1">
        <v>2.5142857142857012E-2</v>
      </c>
      <c r="P167">
        <f t="shared" si="13"/>
        <v>88.714383673466486</v>
      </c>
      <c r="Q167">
        <f t="shared" si="14"/>
        <v>82.340809616929491</v>
      </c>
      <c r="R167">
        <f t="shared" si="15"/>
        <v>84.435516627329761</v>
      </c>
      <c r="V167">
        <f t="shared" si="16"/>
        <v>140.18975398613884</v>
      </c>
      <c r="W167">
        <f t="shared" si="17"/>
        <v>125.18975398613904</v>
      </c>
      <c r="X167">
        <f t="shared" si="18"/>
        <v>135.18975398613867</v>
      </c>
    </row>
    <row r="168" spans="1:24">
      <c r="A168">
        <f t="shared" si="9"/>
        <v>2234.4349999999999</v>
      </c>
      <c r="B168">
        <v>1149.5999999999999</v>
      </c>
      <c r="C168">
        <v>21</v>
      </c>
      <c r="D168">
        <v>190</v>
      </c>
      <c r="E168">
        <v>11.5</v>
      </c>
      <c r="F168">
        <v>170</v>
      </c>
      <c r="G168">
        <v>14.7</v>
      </c>
      <c r="H168">
        <v>185</v>
      </c>
      <c r="I168">
        <v>83.712000000000003</v>
      </c>
      <c r="J168">
        <v>126.04</v>
      </c>
      <c r="K168">
        <f t="shared" si="19"/>
        <v>40</v>
      </c>
      <c r="N168" s="1"/>
      <c r="O168" s="1">
        <v>0.11314285714285688</v>
      </c>
      <c r="P168">
        <f t="shared" si="13"/>
        <v>89.869341808443366</v>
      </c>
      <c r="Q168">
        <f t="shared" si="14"/>
        <v>82.638912720837226</v>
      </c>
      <c r="R168">
        <f t="shared" si="15"/>
        <v>84.77130260872849</v>
      </c>
      <c r="V168">
        <f t="shared" si="16"/>
        <v>137.54213548665089</v>
      </c>
      <c r="W168">
        <f t="shared" si="17"/>
        <v>117.54213548665095</v>
      </c>
      <c r="X168">
        <f t="shared" si="18"/>
        <v>132.54213548665106</v>
      </c>
    </row>
    <row r="169" spans="1:24">
      <c r="A169">
        <f t="shared" si="9"/>
        <v>2234.9349999999999</v>
      </c>
      <c r="B169">
        <v>1181</v>
      </c>
      <c r="C169">
        <v>22</v>
      </c>
      <c r="D169">
        <v>155</v>
      </c>
      <c r="E169">
        <v>12</v>
      </c>
      <c r="F169">
        <v>135</v>
      </c>
      <c r="G169">
        <v>15.5</v>
      </c>
      <c r="H169">
        <v>150</v>
      </c>
      <c r="I169">
        <v>84.094999999999999</v>
      </c>
      <c r="J169">
        <v>119.06</v>
      </c>
      <c r="K169">
        <f t="shared" si="19"/>
        <v>35</v>
      </c>
      <c r="N169" s="1"/>
      <c r="O169" s="1">
        <v>0.2</v>
      </c>
      <c r="P169">
        <f t="shared" si="13"/>
        <v>90.186552387351966</v>
      </c>
      <c r="Q169">
        <f t="shared" si="14"/>
        <v>82.921723691860322</v>
      </c>
      <c r="R169">
        <f t="shared" si="15"/>
        <v>85.144732734313664</v>
      </c>
      <c r="V169">
        <f t="shared" si="16"/>
        <v>135.52475818522524</v>
      </c>
      <c r="W169">
        <f t="shared" si="17"/>
        <v>115.52475818522531</v>
      </c>
      <c r="X169">
        <f t="shared" si="18"/>
        <v>130.5247581852251</v>
      </c>
    </row>
    <row r="170" spans="1:24">
      <c r="A170">
        <f t="shared" si="9"/>
        <v>2235.4349999999999</v>
      </c>
      <c r="B170">
        <v>1213.4000000000001</v>
      </c>
      <c r="C170">
        <v>23</v>
      </c>
      <c r="D170">
        <v>115</v>
      </c>
      <c r="E170">
        <v>12.2</v>
      </c>
      <c r="F170">
        <v>90</v>
      </c>
      <c r="G170">
        <v>16.399999999999999</v>
      </c>
      <c r="H170">
        <v>115</v>
      </c>
      <c r="I170">
        <v>84.569000000000003</v>
      </c>
      <c r="J170">
        <v>114.38</v>
      </c>
      <c r="K170">
        <f t="shared" si="19"/>
        <v>45</v>
      </c>
      <c r="N170" s="1"/>
      <c r="O170" s="1">
        <v>0.2</v>
      </c>
      <c r="P170">
        <f t="shared" si="13"/>
        <v>90.572655491259695</v>
      </c>
      <c r="Q170">
        <f t="shared" si="14"/>
        <v>83.065295384402816</v>
      </c>
      <c r="R170">
        <f t="shared" si="15"/>
        <v>85.6349757318618</v>
      </c>
      <c r="V170">
        <f t="shared" si="16"/>
        <v>129.55778288056939</v>
      </c>
      <c r="W170">
        <f t="shared" si="17"/>
        <v>104.55778288056933</v>
      </c>
      <c r="X170">
        <f t="shared" si="18"/>
        <v>129.55778288056939</v>
      </c>
    </row>
    <row r="171" spans="1:24">
      <c r="A171">
        <f t="shared" si="9"/>
        <v>2235.9349999999999</v>
      </c>
      <c r="B171">
        <v>1246.5999999999999</v>
      </c>
      <c r="C171">
        <v>25</v>
      </c>
      <c r="D171">
        <v>75</v>
      </c>
      <c r="E171">
        <v>12.2</v>
      </c>
      <c r="F171">
        <v>50</v>
      </c>
      <c r="G171">
        <v>17</v>
      </c>
      <c r="H171">
        <v>75</v>
      </c>
      <c r="I171">
        <v>85.242000000000004</v>
      </c>
      <c r="J171">
        <v>112.68</v>
      </c>
      <c r="K171">
        <f t="shared" si="19"/>
        <v>40</v>
      </c>
      <c r="N171" s="1"/>
      <c r="O171" s="1">
        <v>0.2</v>
      </c>
      <c r="P171">
        <f t="shared" si="13"/>
        <v>91.296898944348584</v>
      </c>
      <c r="Q171">
        <f t="shared" si="14"/>
        <v>83.065295384402816</v>
      </c>
      <c r="R171">
        <f t="shared" si="15"/>
        <v>85.947077198473323</v>
      </c>
      <c r="V171">
        <f t="shared" si="16"/>
        <v>124.43112917332923</v>
      </c>
      <c r="W171">
        <f t="shared" si="17"/>
        <v>99.43112917332914</v>
      </c>
      <c r="X171">
        <f t="shared" si="18"/>
        <v>124.43112917332923</v>
      </c>
    </row>
    <row r="172" spans="1:24">
      <c r="A172">
        <f t="shared" si="9"/>
        <v>2236.4349999999999</v>
      </c>
      <c r="B172">
        <v>1280.8</v>
      </c>
      <c r="C172">
        <v>26</v>
      </c>
      <c r="D172">
        <v>30</v>
      </c>
      <c r="E172">
        <v>12.2</v>
      </c>
      <c r="F172">
        <v>15</v>
      </c>
      <c r="G172">
        <v>17.3</v>
      </c>
      <c r="H172">
        <v>30</v>
      </c>
      <c r="I172">
        <v>86.052999999999997</v>
      </c>
      <c r="J172">
        <v>111.83</v>
      </c>
      <c r="K172">
        <f t="shared" si="19"/>
        <v>35</v>
      </c>
      <c r="N172" s="1"/>
      <c r="O172" s="1">
        <v>0.17400000000000007</v>
      </c>
      <c r="P172">
        <f t="shared" si="13"/>
        <v>91.663565730324194</v>
      </c>
      <c r="Q172">
        <f t="shared" si="14"/>
        <v>83.091295384402812</v>
      </c>
      <c r="R172">
        <f t="shared" si="15"/>
        <v>86.125020833483745</v>
      </c>
      <c r="V172">
        <f t="shared" si="16"/>
        <v>115.35487746285916</v>
      </c>
      <c r="W172">
        <f t="shared" si="17"/>
        <v>100.35487746285874</v>
      </c>
      <c r="X172">
        <f t="shared" si="18"/>
        <v>115.35487746285916</v>
      </c>
    </row>
    <row r="173" spans="1:24">
      <c r="A173">
        <f t="shared" si="9"/>
        <v>2236.9349999999999</v>
      </c>
      <c r="B173">
        <v>1315.8</v>
      </c>
      <c r="C173">
        <v>27.5</v>
      </c>
      <c r="D173">
        <v>345</v>
      </c>
      <c r="E173">
        <v>12</v>
      </c>
      <c r="F173">
        <v>340</v>
      </c>
      <c r="G173">
        <v>18</v>
      </c>
      <c r="H173">
        <v>345</v>
      </c>
      <c r="I173">
        <v>86.872</v>
      </c>
      <c r="J173">
        <v>108.84</v>
      </c>
      <c r="K173">
        <f t="shared" si="19"/>
        <v>-325</v>
      </c>
      <c r="N173" s="1"/>
      <c r="O173" s="1">
        <v>0.13025000000000006</v>
      </c>
      <c r="P173">
        <f t="shared" si="13"/>
        <v>92.19450264751309</v>
      </c>
      <c r="Q173">
        <f t="shared" si="14"/>
        <v>82.991473691860321</v>
      </c>
      <c r="R173">
        <f t="shared" si="15"/>
        <v>86.513298872973948</v>
      </c>
      <c r="V173">
        <f t="shared" si="16"/>
        <v>107.11894734980476</v>
      </c>
      <c r="W173">
        <f t="shared" si="17"/>
        <v>102.11894734980461</v>
      </c>
      <c r="X173">
        <f t="shared" si="18"/>
        <v>107.11894734980476</v>
      </c>
    </row>
    <row r="174" spans="1:24">
      <c r="A174">
        <f t="shared" si="9"/>
        <v>2237.4349999999999</v>
      </c>
      <c r="B174">
        <v>1351.8</v>
      </c>
      <c r="C174">
        <v>29</v>
      </c>
      <c r="D174">
        <v>300</v>
      </c>
      <c r="E174">
        <v>12</v>
      </c>
      <c r="F174">
        <v>300</v>
      </c>
      <c r="G174">
        <v>18.5</v>
      </c>
      <c r="H174">
        <v>305</v>
      </c>
      <c r="I174">
        <v>87.539000000000001</v>
      </c>
      <c r="J174">
        <v>103.39</v>
      </c>
      <c r="K174">
        <f t="shared" si="19"/>
        <v>40</v>
      </c>
      <c r="N174" s="1"/>
      <c r="O174" s="1">
        <v>0.1</v>
      </c>
      <c r="P174">
        <f t="shared" si="13"/>
        <v>92.686058728886977</v>
      </c>
      <c r="Q174">
        <f t="shared" si="14"/>
        <v>83.021723691860331</v>
      </c>
      <c r="R174">
        <f t="shared" si="15"/>
        <v>86.781533338968131</v>
      </c>
      <c r="V174">
        <f t="shared" si="16"/>
        <v>99.933419233520311</v>
      </c>
      <c r="W174">
        <f t="shared" si="17"/>
        <v>99.933419233520311</v>
      </c>
      <c r="X174">
        <f t="shared" si="18"/>
        <v>104.93341923352013</v>
      </c>
    </row>
    <row r="175" spans="1:24">
      <c r="A175">
        <f t="shared" si="9"/>
        <v>2237.9349999999999</v>
      </c>
      <c r="B175">
        <v>1388.8</v>
      </c>
      <c r="C175">
        <v>30.5</v>
      </c>
      <c r="D175">
        <v>255</v>
      </c>
      <c r="E175">
        <v>12.2</v>
      </c>
      <c r="F175">
        <v>250</v>
      </c>
      <c r="G175">
        <v>19</v>
      </c>
      <c r="H175">
        <v>265</v>
      </c>
      <c r="I175">
        <v>87.950999999999993</v>
      </c>
      <c r="J175">
        <v>98.935000000000002</v>
      </c>
      <c r="K175">
        <f t="shared" si="19"/>
        <v>50</v>
      </c>
      <c r="N175" s="1"/>
      <c r="O175" s="1">
        <v>0.1</v>
      </c>
      <c r="P175">
        <f t="shared" si="13"/>
        <v>93.12409555784356</v>
      </c>
      <c r="Q175">
        <f t="shared" si="14"/>
        <v>83.165295384402825</v>
      </c>
      <c r="R175">
        <f t="shared" si="15"/>
        <v>87.013170789964434</v>
      </c>
      <c r="V175">
        <f t="shared" si="16"/>
        <v>93.798293114005489</v>
      </c>
      <c r="W175">
        <f t="shared" si="17"/>
        <v>88.798293114005673</v>
      </c>
      <c r="X175">
        <f t="shared" si="18"/>
        <v>103.79829311400577</v>
      </c>
    </row>
    <row r="176" spans="1:24">
      <c r="A176">
        <f t="shared" si="9"/>
        <v>2238.4349999999999</v>
      </c>
      <c r="B176">
        <v>1427</v>
      </c>
      <c r="C176">
        <v>31</v>
      </c>
      <c r="D176">
        <v>210</v>
      </c>
      <c r="E176">
        <v>12.2</v>
      </c>
      <c r="F176">
        <v>205</v>
      </c>
      <c r="G176">
        <v>20.5</v>
      </c>
      <c r="H176">
        <v>225</v>
      </c>
      <c r="I176">
        <v>88.194000000000003</v>
      </c>
      <c r="J176">
        <v>96.688000000000002</v>
      </c>
      <c r="K176">
        <f t="shared" si="19"/>
        <v>45</v>
      </c>
      <c r="N176" s="1"/>
      <c r="O176" s="1">
        <v>0.1</v>
      </c>
      <c r="P176">
        <f t="shared" si="13"/>
        <v>93.265332647593311</v>
      </c>
      <c r="Q176">
        <f t="shared" si="14"/>
        <v>83.165295384402825</v>
      </c>
      <c r="R176">
        <f t="shared" si="15"/>
        <v>87.673175992022934</v>
      </c>
      <c r="V176">
        <f t="shared" si="16"/>
        <v>88.923649390614941</v>
      </c>
      <c r="W176">
        <f t="shared" si="17"/>
        <v>83.923649390615111</v>
      </c>
      <c r="X176">
        <f t="shared" si="18"/>
        <v>103.92364939061505</v>
      </c>
    </row>
    <row r="177" spans="1:24">
      <c r="A177">
        <f t="shared" si="9"/>
        <v>2238.9349999999999</v>
      </c>
      <c r="B177">
        <v>1465.8</v>
      </c>
      <c r="C177">
        <v>32</v>
      </c>
      <c r="D177">
        <v>165</v>
      </c>
      <c r="E177">
        <v>12.3</v>
      </c>
      <c r="F177">
        <v>170</v>
      </c>
      <c r="G177">
        <v>21</v>
      </c>
      <c r="H177">
        <v>185</v>
      </c>
      <c r="I177">
        <v>88.451999999999998</v>
      </c>
      <c r="J177">
        <v>95.263000000000005</v>
      </c>
      <c r="K177">
        <f t="shared" si="19"/>
        <v>35</v>
      </c>
      <c r="N177" s="1"/>
      <c r="O177" s="1">
        <v>0.1</v>
      </c>
      <c r="P177">
        <f t="shared" si="13"/>
        <v>93.541098337305968</v>
      </c>
      <c r="Q177">
        <f t="shared" si="14"/>
        <v>83.236200999695811</v>
      </c>
      <c r="R177">
        <f t="shared" si="15"/>
        <v>87.882484665586247</v>
      </c>
      <c r="V177">
        <f t="shared" si="16"/>
        <v>84.679246865286046</v>
      </c>
      <c r="W177">
        <f t="shared" si="17"/>
        <v>89.679246865286188</v>
      </c>
      <c r="X177">
        <f t="shared" si="18"/>
        <v>104.67924686528598</v>
      </c>
    </row>
    <row r="178" spans="1:24">
      <c r="A178">
        <f t="shared" si="9"/>
        <v>2239.4349999999999</v>
      </c>
      <c r="B178">
        <v>1506.2</v>
      </c>
      <c r="C178">
        <v>34</v>
      </c>
      <c r="D178">
        <v>120</v>
      </c>
      <c r="E178">
        <v>12.8</v>
      </c>
      <c r="F178">
        <v>130</v>
      </c>
      <c r="G178">
        <v>22</v>
      </c>
      <c r="H178">
        <v>140</v>
      </c>
      <c r="I178">
        <v>88.784000000000006</v>
      </c>
      <c r="J178">
        <v>91.480999999999995</v>
      </c>
      <c r="K178">
        <f t="shared" si="19"/>
        <v>40</v>
      </c>
      <c r="N178" s="1"/>
      <c r="O178" s="1">
        <v>0.1</v>
      </c>
      <c r="P178">
        <f t="shared" si="13"/>
        <v>94.067677111752957</v>
      </c>
      <c r="Q178">
        <f t="shared" si="14"/>
        <v>83.582298163865204</v>
      </c>
      <c r="R178">
        <f t="shared" si="15"/>
        <v>88.286552387351975</v>
      </c>
      <c r="V178">
        <f t="shared" si="16"/>
        <v>82.115487534789395</v>
      </c>
      <c r="W178">
        <f t="shared" si="17"/>
        <v>92.115487534789366</v>
      </c>
      <c r="X178">
        <f t="shared" si="18"/>
        <v>102.11548753478965</v>
      </c>
    </row>
    <row r="179" spans="1:24">
      <c r="A179">
        <f t="shared" si="9"/>
        <v>2239.9349999999999</v>
      </c>
      <c r="B179">
        <v>1547.2</v>
      </c>
      <c r="C179">
        <v>35</v>
      </c>
      <c r="D179">
        <v>75</v>
      </c>
      <c r="E179">
        <v>13</v>
      </c>
      <c r="F179">
        <v>85</v>
      </c>
      <c r="G179">
        <v>23</v>
      </c>
      <c r="H179">
        <v>90</v>
      </c>
      <c r="I179">
        <v>89.006</v>
      </c>
      <c r="J179">
        <v>86.218999999999994</v>
      </c>
      <c r="K179">
        <f t="shared" si="19"/>
        <v>45</v>
      </c>
      <c r="N179" s="1"/>
      <c r="O179" s="1">
        <v>0.13720000000000004</v>
      </c>
      <c r="P179">
        <f t="shared" si="13"/>
        <v>94.282259657913343</v>
      </c>
      <c r="Q179">
        <f t="shared" si="14"/>
        <v>83.679765817044583</v>
      </c>
      <c r="R179">
        <f t="shared" si="15"/>
        <v>88.635455491259705</v>
      </c>
      <c r="V179">
        <f t="shared" si="16"/>
        <v>80.181969402354412</v>
      </c>
      <c r="W179">
        <f t="shared" si="17"/>
        <v>90.181969402354383</v>
      </c>
      <c r="X179">
        <f t="shared" si="18"/>
        <v>95.181969402354525</v>
      </c>
    </row>
    <row r="180" spans="1:24">
      <c r="A180">
        <f t="shared" si="9"/>
        <v>2240.4349999999999</v>
      </c>
      <c r="B180">
        <v>1589.8</v>
      </c>
      <c r="C180">
        <v>35</v>
      </c>
      <c r="D180">
        <v>25</v>
      </c>
      <c r="E180">
        <v>13.5</v>
      </c>
      <c r="F180">
        <v>40</v>
      </c>
      <c r="G180">
        <v>24</v>
      </c>
      <c r="H180">
        <v>45</v>
      </c>
      <c r="I180">
        <v>88.866</v>
      </c>
      <c r="J180">
        <v>82.528000000000006</v>
      </c>
      <c r="K180">
        <f t="shared" si="19"/>
        <v>45</v>
      </c>
      <c r="N180" s="1"/>
      <c r="O180" s="1">
        <v>0.17979999999999996</v>
      </c>
      <c r="P180">
        <f t="shared" si="13"/>
        <v>94.23965965791335</v>
      </c>
      <c r="Q180">
        <f t="shared" si="14"/>
        <v>83.964974140807954</v>
      </c>
      <c r="R180">
        <f t="shared" si="15"/>
        <v>88.96252360513995</v>
      </c>
      <c r="V180">
        <f t="shared" si="16"/>
        <v>74.929094464751216</v>
      </c>
      <c r="W180">
        <f t="shared" si="17"/>
        <v>89.929094464750989</v>
      </c>
      <c r="X180">
        <f t="shared" si="18"/>
        <v>94.929094464751131</v>
      </c>
    </row>
    <row r="181" spans="1:24">
      <c r="A181">
        <f t="shared" si="9"/>
        <v>2240.9349999999999</v>
      </c>
      <c r="B181">
        <v>1633.2</v>
      </c>
      <c r="C181">
        <v>34.5</v>
      </c>
      <c r="D181">
        <v>330</v>
      </c>
      <c r="E181">
        <v>13.8</v>
      </c>
      <c r="F181">
        <v>355</v>
      </c>
      <c r="G181">
        <v>24.5</v>
      </c>
      <c r="H181">
        <v>355</v>
      </c>
      <c r="I181">
        <v>88.509</v>
      </c>
      <c r="J181">
        <v>81.522999999999996</v>
      </c>
      <c r="K181">
        <f t="shared" si="19"/>
        <v>-315</v>
      </c>
      <c r="N181" s="1"/>
      <c r="O181" s="1">
        <v>0.2</v>
      </c>
      <c r="P181">
        <f t="shared" si="13"/>
        <v>94.094480672373322</v>
      </c>
      <c r="Q181">
        <f t="shared" si="14"/>
        <v>84.135680498932558</v>
      </c>
      <c r="R181">
        <f t="shared" si="15"/>
        <v>89.1214204581985</v>
      </c>
      <c r="V181">
        <f t="shared" si="16"/>
        <v>65.51654112456383</v>
      </c>
      <c r="W181">
        <f t="shared" si="17"/>
        <v>90.516541124563901</v>
      </c>
      <c r="X181">
        <f t="shared" si="18"/>
        <v>90.516541124563901</v>
      </c>
    </row>
    <row r="182" spans="1:24">
      <c r="A182">
        <f t="shared" si="9"/>
        <v>2241.4349999999999</v>
      </c>
      <c r="B182">
        <v>1678</v>
      </c>
      <c r="C182">
        <v>33.5</v>
      </c>
      <c r="D182">
        <v>275</v>
      </c>
      <c r="E182">
        <v>14</v>
      </c>
      <c r="F182">
        <v>305</v>
      </c>
      <c r="G182">
        <v>25</v>
      </c>
      <c r="H182">
        <v>300</v>
      </c>
      <c r="I182">
        <v>88.412999999999997</v>
      </c>
      <c r="J182">
        <v>78.760000000000005</v>
      </c>
      <c r="K182">
        <f t="shared" si="19"/>
        <v>50</v>
      </c>
      <c r="N182" s="1"/>
      <c r="O182" s="1">
        <v>0.2</v>
      </c>
      <c r="P182">
        <f t="shared" si="13"/>
        <v>93.838994911644747</v>
      </c>
      <c r="Q182">
        <f t="shared" si="14"/>
        <v>84.260659484472612</v>
      </c>
      <c r="R182">
        <f t="shared" si="15"/>
        <v>89.296898944348598</v>
      </c>
      <c r="V182">
        <f t="shared" si="16"/>
        <v>57.574550579854389</v>
      </c>
      <c r="W182">
        <f t="shared" si="17"/>
        <v>87.574550579854275</v>
      </c>
      <c r="X182">
        <f t="shared" si="18"/>
        <v>82.574550579854133</v>
      </c>
    </row>
    <row r="183" spans="1:24">
      <c r="A183">
        <f t="shared" si="9"/>
        <v>2241.9349999999999</v>
      </c>
      <c r="B183">
        <v>1723.8</v>
      </c>
      <c r="C183">
        <v>32</v>
      </c>
      <c r="D183">
        <v>220</v>
      </c>
      <c r="E183">
        <v>14</v>
      </c>
      <c r="F183">
        <v>255</v>
      </c>
      <c r="G183">
        <v>25.5</v>
      </c>
      <c r="H183">
        <v>245</v>
      </c>
      <c r="I183">
        <v>88.858000000000004</v>
      </c>
      <c r="J183">
        <v>74.055999999999997</v>
      </c>
      <c r="K183">
        <f t="shared" si="19"/>
        <v>50</v>
      </c>
      <c r="N183" s="1"/>
      <c r="O183" s="1">
        <v>0.2</v>
      </c>
      <c r="P183">
        <f t="shared" si="13"/>
        <v>93.441098337305959</v>
      </c>
      <c r="Q183">
        <f t="shared" si="14"/>
        <v>84.260659484472612</v>
      </c>
      <c r="R183">
        <f t="shared" si="15"/>
        <v>89.468902379586936</v>
      </c>
      <c r="V183">
        <f t="shared" si="16"/>
        <v>50.682962031914585</v>
      </c>
      <c r="W183">
        <f t="shared" si="17"/>
        <v>85.682962031914627</v>
      </c>
      <c r="X183">
        <f t="shared" si="18"/>
        <v>75.682962031914656</v>
      </c>
    </row>
    <row r="184" spans="1:24">
      <c r="A184">
        <f t="shared" si="9"/>
        <v>2242.4349999999999</v>
      </c>
      <c r="B184">
        <v>1771.2</v>
      </c>
      <c r="C184">
        <v>31.5</v>
      </c>
      <c r="D184">
        <v>165</v>
      </c>
      <c r="E184">
        <v>14</v>
      </c>
      <c r="F184">
        <v>205</v>
      </c>
      <c r="G184">
        <v>25.5</v>
      </c>
      <c r="H184">
        <v>190</v>
      </c>
      <c r="I184">
        <v>89.653999999999996</v>
      </c>
      <c r="J184">
        <v>69.177000000000007</v>
      </c>
      <c r="K184">
        <f t="shared" si="19"/>
        <v>50</v>
      </c>
      <c r="N184" s="1"/>
      <c r="O184" s="1">
        <v>0.2</v>
      </c>
      <c r="P184">
        <f t="shared" si="13"/>
        <v>93.304309846699852</v>
      </c>
      <c r="Q184">
        <f t="shared" si="14"/>
        <v>84.260659484472612</v>
      </c>
      <c r="R184">
        <f t="shared" si="15"/>
        <v>89.468902379586936</v>
      </c>
      <c r="V184">
        <f t="shared" si="16"/>
        <v>45.47201667880671</v>
      </c>
      <c r="W184">
        <f t="shared" si="17"/>
        <v>85.472016678806881</v>
      </c>
      <c r="X184">
        <f t="shared" si="18"/>
        <v>70.472016678806781</v>
      </c>
    </row>
    <row r="185" spans="1:24">
      <c r="A185">
        <f t="shared" si="9"/>
        <v>2242.9349999999999</v>
      </c>
      <c r="B185">
        <v>1819.6</v>
      </c>
      <c r="C185">
        <v>30</v>
      </c>
      <c r="D185">
        <v>110</v>
      </c>
      <c r="E185">
        <v>14</v>
      </c>
      <c r="F185">
        <v>155</v>
      </c>
      <c r="G185">
        <v>26</v>
      </c>
      <c r="H185">
        <v>135</v>
      </c>
      <c r="I185">
        <v>90.185000000000002</v>
      </c>
      <c r="J185">
        <v>62.844999999999999</v>
      </c>
      <c r="K185">
        <f t="shared" si="19"/>
        <v>50</v>
      </c>
      <c r="N185" s="1"/>
      <c r="O185" s="1">
        <v>0.2</v>
      </c>
      <c r="P185">
        <f t="shared" si="13"/>
        <v>92.880523865301086</v>
      </c>
      <c r="Q185">
        <f t="shared" si="14"/>
        <v>84.260659484472612</v>
      </c>
      <c r="R185">
        <f t="shared" si="15"/>
        <v>89.637565730324198</v>
      </c>
      <c r="V185">
        <f t="shared" si="16"/>
        <v>41.311473322468792</v>
      </c>
      <c r="W185">
        <f t="shared" si="17"/>
        <v>86.3114733224688</v>
      </c>
      <c r="X185">
        <f t="shared" si="18"/>
        <v>66.311473322468856</v>
      </c>
    </row>
    <row r="186" spans="1:24">
      <c r="A186">
        <f t="shared" si="9"/>
        <v>2243.4349999999999</v>
      </c>
      <c r="B186">
        <v>1869.4</v>
      </c>
      <c r="C186">
        <v>29</v>
      </c>
      <c r="D186">
        <v>55</v>
      </c>
      <c r="E186">
        <v>14.7</v>
      </c>
      <c r="F186">
        <v>100</v>
      </c>
      <c r="G186">
        <v>26.5</v>
      </c>
      <c r="H186">
        <v>85</v>
      </c>
      <c r="I186">
        <v>90.048000000000002</v>
      </c>
      <c r="J186">
        <v>58.875</v>
      </c>
      <c r="K186">
        <f t="shared" si="19"/>
        <v>55</v>
      </c>
      <c r="N186" s="1"/>
      <c r="O186" s="1">
        <v>0.24490909090909099</v>
      </c>
      <c r="P186">
        <f t="shared" si="13"/>
        <v>92.541149637977881</v>
      </c>
      <c r="Q186">
        <f t="shared" si="14"/>
        <v>84.639536374962262</v>
      </c>
      <c r="R186">
        <f t="shared" si="15"/>
        <v>89.758107158734916</v>
      </c>
      <c r="V186">
        <f t="shared" si="16"/>
        <v>38.621492761608813</v>
      </c>
      <c r="W186">
        <f t="shared" si="17"/>
        <v>83.621492761608806</v>
      </c>
      <c r="X186">
        <f t="shared" si="18"/>
        <v>68.621492761608707</v>
      </c>
    </row>
    <row r="187" spans="1:24">
      <c r="A187">
        <f t="shared" si="9"/>
        <v>2243.9349999999999</v>
      </c>
      <c r="B187">
        <v>1920.4</v>
      </c>
      <c r="C187">
        <v>28</v>
      </c>
      <c r="D187">
        <v>355</v>
      </c>
      <c r="E187">
        <v>15.2</v>
      </c>
      <c r="F187">
        <v>45</v>
      </c>
      <c r="G187">
        <v>26.5</v>
      </c>
      <c r="H187">
        <v>25</v>
      </c>
      <c r="I187">
        <v>89.632000000000005</v>
      </c>
      <c r="J187">
        <v>56.401000000000003</v>
      </c>
      <c r="K187">
        <f t="shared" si="19"/>
        <v>55</v>
      </c>
      <c r="N187" s="1"/>
      <c r="O187" s="1">
        <v>0.29127272727272735</v>
      </c>
      <c r="P187">
        <f t="shared" si="13"/>
        <v>92.189986670479499</v>
      </c>
      <c r="Q187">
        <f t="shared" si="14"/>
        <v>84.883697802530577</v>
      </c>
      <c r="R187">
        <f t="shared" si="15"/>
        <v>89.711743522371279</v>
      </c>
      <c r="V187">
        <f t="shared" si="16"/>
        <v>32.191994596872959</v>
      </c>
      <c r="W187">
        <f t="shared" si="17"/>
        <v>82.191994596872775</v>
      </c>
      <c r="X187">
        <f t="shared" si="18"/>
        <v>62.191994596872853</v>
      </c>
    </row>
    <row r="188" spans="1:24">
      <c r="A188">
        <f t="shared" si="9"/>
        <v>2244.4349999999999</v>
      </c>
      <c r="B188">
        <v>1973.2</v>
      </c>
      <c r="C188">
        <v>27</v>
      </c>
      <c r="D188">
        <v>295</v>
      </c>
      <c r="E188">
        <v>16</v>
      </c>
      <c r="F188">
        <v>345</v>
      </c>
      <c r="G188">
        <v>26.5</v>
      </c>
      <c r="H188">
        <v>325</v>
      </c>
      <c r="I188">
        <v>89.474000000000004</v>
      </c>
      <c r="J188">
        <v>52.618000000000002</v>
      </c>
      <c r="K188">
        <f t="shared" si="19"/>
        <v>-300</v>
      </c>
      <c r="N188" s="1"/>
      <c r="O188" s="1">
        <v>0.33600000000000002</v>
      </c>
      <c r="P188">
        <f t="shared" si="13"/>
        <v>91.829374054087594</v>
      </c>
      <c r="Q188">
        <f t="shared" si="14"/>
        <v>85.284498424026353</v>
      </c>
      <c r="R188">
        <f t="shared" si="15"/>
        <v>89.667016249644007</v>
      </c>
      <c r="V188">
        <f t="shared" si="16"/>
        <v>27.653220026322387</v>
      </c>
      <c r="W188">
        <f t="shared" si="17"/>
        <v>77.653220026322202</v>
      </c>
      <c r="X188">
        <f t="shared" si="18"/>
        <v>57.65322002632228</v>
      </c>
    </row>
    <row r="189" spans="1:24">
      <c r="A189">
        <f t="shared" si="9"/>
        <v>2244.9349999999999</v>
      </c>
      <c r="B189">
        <v>2026</v>
      </c>
      <c r="C189">
        <v>25.5</v>
      </c>
      <c r="D189">
        <v>230</v>
      </c>
      <c r="E189">
        <v>17</v>
      </c>
      <c r="F189">
        <v>285</v>
      </c>
      <c r="G189">
        <v>26</v>
      </c>
      <c r="H189">
        <v>265</v>
      </c>
      <c r="I189">
        <v>89.673000000000002</v>
      </c>
      <c r="J189">
        <v>46.213000000000001</v>
      </c>
      <c r="K189">
        <f t="shared" si="19"/>
        <v>60</v>
      </c>
      <c r="N189" s="1"/>
      <c r="O189" s="1">
        <v>0.38</v>
      </c>
      <c r="P189">
        <f t="shared" si="13"/>
        <v>91.288902379586958</v>
      </c>
      <c r="Q189">
        <f t="shared" si="14"/>
        <v>85.767077198473331</v>
      </c>
      <c r="R189">
        <f t="shared" si="15"/>
        <v>89.457565730324205</v>
      </c>
      <c r="V189">
        <f t="shared" si="16"/>
        <v>18.114445455771673</v>
      </c>
      <c r="W189">
        <f t="shared" si="17"/>
        <v>73.11444545577163</v>
      </c>
      <c r="X189">
        <f t="shared" si="18"/>
        <v>53.114445455771389</v>
      </c>
    </row>
    <row r="190" spans="1:24">
      <c r="A190">
        <f t="shared" si="9"/>
        <v>2245.4349999999999</v>
      </c>
      <c r="B190">
        <v>2082</v>
      </c>
      <c r="C190">
        <v>24</v>
      </c>
      <c r="D190">
        <v>165</v>
      </c>
      <c r="E190">
        <v>16.5</v>
      </c>
      <c r="F190">
        <v>225</v>
      </c>
      <c r="G190">
        <v>25</v>
      </c>
      <c r="H190">
        <v>205</v>
      </c>
      <c r="I190">
        <v>89.796999999999997</v>
      </c>
      <c r="J190">
        <v>35.276000000000003</v>
      </c>
      <c r="K190">
        <f t="shared" si="19"/>
        <v>60</v>
      </c>
      <c r="N190" s="1"/>
      <c r="O190" s="1">
        <v>0.37538461538461537</v>
      </c>
      <c r="P190">
        <f t="shared" si="13"/>
        <v>90.766938989755346</v>
      </c>
      <c r="Q190">
        <f t="shared" si="14"/>
        <v>85.512393039801353</v>
      </c>
      <c r="R190">
        <f t="shared" si="15"/>
        <v>89.121514328963983</v>
      </c>
      <c r="V190">
        <f t="shared" si="16"/>
        <v>11.936957274884819</v>
      </c>
      <c r="W190">
        <f t="shared" si="17"/>
        <v>71.936957274884918</v>
      </c>
      <c r="X190">
        <f t="shared" si="18"/>
        <v>51.936957274884996</v>
      </c>
    </row>
    <row r="191" spans="1:24">
      <c r="A191">
        <f t="shared" si="9"/>
        <v>2245.9349999999999</v>
      </c>
      <c r="B191">
        <v>2140</v>
      </c>
      <c r="C191">
        <v>22</v>
      </c>
      <c r="D191">
        <v>105</v>
      </c>
      <c r="E191">
        <v>16</v>
      </c>
      <c r="F191">
        <v>160</v>
      </c>
      <c r="G191">
        <v>25</v>
      </c>
      <c r="H191">
        <v>145</v>
      </c>
      <c r="I191">
        <v>89.442999999999998</v>
      </c>
      <c r="J191">
        <v>24.21</v>
      </c>
      <c r="K191">
        <f t="shared" si="19"/>
        <v>65</v>
      </c>
      <c r="N191" s="1"/>
      <c r="O191" s="1">
        <v>0.33076923076923076</v>
      </c>
      <c r="P191">
        <f t="shared" si="13"/>
        <v>90.055783156582734</v>
      </c>
      <c r="Q191">
        <f t="shared" si="14"/>
        <v>85.289729193257116</v>
      </c>
      <c r="R191">
        <f t="shared" si="15"/>
        <v>89.166129713579366</v>
      </c>
      <c r="V191">
        <f t="shared" si="16"/>
        <v>12.860273087537699</v>
      </c>
      <c r="W191">
        <f t="shared" si="17"/>
        <v>67.860273087537664</v>
      </c>
      <c r="X191">
        <f t="shared" si="18"/>
        <v>52.860273087537557</v>
      </c>
    </row>
    <row r="192" spans="1:24">
      <c r="A192">
        <f t="shared" si="9"/>
        <v>2246.4349999999999</v>
      </c>
      <c r="B192">
        <v>2198</v>
      </c>
      <c r="C192">
        <v>20.5</v>
      </c>
      <c r="D192">
        <v>50</v>
      </c>
      <c r="E192">
        <v>15.5</v>
      </c>
      <c r="F192">
        <v>100</v>
      </c>
      <c r="G192">
        <v>24</v>
      </c>
      <c r="H192">
        <v>80</v>
      </c>
      <c r="I192">
        <v>88.997</v>
      </c>
      <c r="J192">
        <v>19.431999999999999</v>
      </c>
      <c r="K192">
        <f t="shared" si="19"/>
        <v>60</v>
      </c>
      <c r="N192" s="1"/>
      <c r="O192" s="1">
        <v>0.3</v>
      </c>
      <c r="P192">
        <f t="shared" si="13"/>
        <v>89.473175992022931</v>
      </c>
      <c r="Q192">
        <f t="shared" si="14"/>
        <v>85.044732734313669</v>
      </c>
      <c r="R192">
        <f t="shared" si="15"/>
        <v>88.842323605139953</v>
      </c>
      <c r="V192">
        <f t="shared" si="16"/>
        <v>18.783588900190722</v>
      </c>
      <c r="W192">
        <f t="shared" si="17"/>
        <v>68.783588900190551</v>
      </c>
      <c r="X192">
        <f t="shared" si="18"/>
        <v>48.783588900190615</v>
      </c>
    </row>
    <row r="193" spans="1:24">
      <c r="A193">
        <f t="shared" si="9"/>
        <v>2246.9349999999999</v>
      </c>
      <c r="B193">
        <v>2258</v>
      </c>
      <c r="C193">
        <v>20</v>
      </c>
      <c r="D193">
        <v>345</v>
      </c>
      <c r="E193">
        <v>16</v>
      </c>
      <c r="F193">
        <v>35</v>
      </c>
      <c r="G193">
        <v>23.5</v>
      </c>
      <c r="H193">
        <v>10</v>
      </c>
      <c r="I193">
        <v>88.753</v>
      </c>
      <c r="J193">
        <v>21.76</v>
      </c>
      <c r="K193">
        <f t="shared" si="19"/>
        <v>65</v>
      </c>
      <c r="N193" s="1"/>
      <c r="O193" s="1">
        <v>0.3</v>
      </c>
      <c r="P193">
        <f t="shared" si="13"/>
        <v>89.258698684187465</v>
      </c>
      <c r="Q193">
        <f t="shared" si="14"/>
        <v>85.320498424026354</v>
      </c>
      <c r="R193">
        <f t="shared" si="15"/>
        <v>88.65945601634256</v>
      </c>
      <c r="V193">
        <f t="shared" si="16"/>
        <v>16.807708706383053</v>
      </c>
      <c r="W193">
        <f t="shared" si="17"/>
        <v>66.807708706383195</v>
      </c>
      <c r="X193">
        <f t="shared" si="18"/>
        <v>41.807708706383124</v>
      </c>
    </row>
    <row r="194" spans="1:24">
      <c r="A194">
        <f t="shared" si="9"/>
        <v>2247.4349999999999</v>
      </c>
      <c r="B194">
        <v>2320</v>
      </c>
      <c r="C194">
        <v>19.5</v>
      </c>
      <c r="D194">
        <v>280</v>
      </c>
      <c r="E194">
        <v>16.2</v>
      </c>
      <c r="F194">
        <v>330</v>
      </c>
      <c r="G194">
        <v>23</v>
      </c>
      <c r="H194">
        <v>305</v>
      </c>
      <c r="I194">
        <v>88.527000000000001</v>
      </c>
      <c r="J194">
        <v>23.372</v>
      </c>
      <c r="K194">
        <f t="shared" si="19"/>
        <v>-295</v>
      </c>
      <c r="N194" s="1"/>
      <c r="O194" s="1">
        <v>0.3</v>
      </c>
      <c r="P194">
        <f t="shared" si="13"/>
        <v>89.038790998158206</v>
      </c>
      <c r="Q194">
        <f t="shared" si="14"/>
        <v>85.428399061760459</v>
      </c>
      <c r="R194">
        <f t="shared" si="15"/>
        <v>88.472655491259715</v>
      </c>
      <c r="V194">
        <f t="shared" si="16"/>
        <v>16.932632506115937</v>
      </c>
      <c r="W194">
        <f t="shared" si="17"/>
        <v>66.932632506116079</v>
      </c>
      <c r="X194">
        <f t="shared" si="18"/>
        <v>41.932632506115368</v>
      </c>
    </row>
    <row r="195" spans="1:24">
      <c r="A195">
        <f t="shared" si="9"/>
        <v>2247.9349999999999</v>
      </c>
      <c r="B195">
        <v>2384</v>
      </c>
      <c r="C195">
        <v>19</v>
      </c>
      <c r="D195">
        <v>215</v>
      </c>
      <c r="E195">
        <v>16.5</v>
      </c>
      <c r="F195">
        <v>260</v>
      </c>
      <c r="G195">
        <v>23</v>
      </c>
      <c r="H195">
        <v>240</v>
      </c>
      <c r="I195">
        <v>88.465000000000003</v>
      </c>
      <c r="J195">
        <v>20.023</v>
      </c>
      <c r="K195">
        <f t="shared" si="19"/>
        <v>70</v>
      </c>
      <c r="N195" s="1"/>
      <c r="O195" s="1">
        <v>0.2573333333333333</v>
      </c>
      <c r="P195">
        <f t="shared" si="13"/>
        <v>88.855837456631079</v>
      </c>
      <c r="Q195">
        <f t="shared" si="14"/>
        <v>85.630444321852636</v>
      </c>
      <c r="R195">
        <f t="shared" si="15"/>
        <v>88.515322157926377</v>
      </c>
      <c r="V195">
        <f t="shared" si="16"/>
        <v>19.158360299387454</v>
      </c>
      <c r="W195">
        <f t="shared" si="17"/>
        <v>64.158360299387454</v>
      </c>
      <c r="X195">
        <f t="shared" si="18"/>
        <v>44.158360299388164</v>
      </c>
    </row>
    <row r="196" spans="1:24">
      <c r="A196">
        <f t="shared" si="9"/>
        <v>2248.4349999999999</v>
      </c>
      <c r="B196">
        <v>2448</v>
      </c>
      <c r="C196">
        <v>19</v>
      </c>
      <c r="D196">
        <v>150</v>
      </c>
      <c r="E196">
        <v>17</v>
      </c>
      <c r="F196">
        <v>190</v>
      </c>
      <c r="G196">
        <v>23</v>
      </c>
      <c r="H196">
        <v>170</v>
      </c>
      <c r="I196">
        <v>88.771000000000001</v>
      </c>
      <c r="J196">
        <v>10.185</v>
      </c>
      <c r="K196">
        <f t="shared" si="19"/>
        <v>70</v>
      </c>
      <c r="N196" s="1"/>
      <c r="O196" s="1">
        <v>0.21466666666666667</v>
      </c>
      <c r="P196">
        <f t="shared" si="13"/>
        <v>88.898504123297741</v>
      </c>
      <c r="Q196">
        <f t="shared" si="14"/>
        <v>85.932410531806653</v>
      </c>
      <c r="R196">
        <f t="shared" si="15"/>
        <v>88.557988824593039</v>
      </c>
      <c r="V196">
        <f t="shared" si="16"/>
        <v>21.384088092660249</v>
      </c>
      <c r="W196">
        <f t="shared" si="17"/>
        <v>61.384088092660107</v>
      </c>
      <c r="X196">
        <f t="shared" si="18"/>
        <v>41.384088092659539</v>
      </c>
    </row>
    <row r="197" spans="1:24">
      <c r="A197">
        <f t="shared" si="9"/>
        <v>2248.9349999999999</v>
      </c>
      <c r="B197">
        <v>2516</v>
      </c>
      <c r="C197">
        <v>18.5</v>
      </c>
      <c r="D197">
        <v>75</v>
      </c>
      <c r="E197">
        <v>17.2</v>
      </c>
      <c r="F197">
        <v>120</v>
      </c>
      <c r="G197">
        <v>23</v>
      </c>
      <c r="H197">
        <v>100</v>
      </c>
      <c r="I197">
        <v>88.947999999999993</v>
      </c>
      <c r="J197">
        <v>1.6973</v>
      </c>
      <c r="K197">
        <f t="shared" si="19"/>
        <v>70</v>
      </c>
      <c r="N197" s="1"/>
      <c r="O197" s="1">
        <v>0.22875000000000001</v>
      </c>
      <c r="P197">
        <f t="shared" si="13"/>
        <v>88.652783338968106</v>
      </c>
      <c r="Q197">
        <f t="shared" si="14"/>
        <v>86.019917709058817</v>
      </c>
      <c r="R197">
        <f t="shared" si="15"/>
        <v>88.543905491259707</v>
      </c>
      <c r="V197">
        <f t="shared" si="16"/>
        <v>17.811423873011307</v>
      </c>
      <c r="W197">
        <f t="shared" si="17"/>
        <v>62.811423873011307</v>
      </c>
      <c r="X197">
        <f t="shared" si="18"/>
        <v>42.811423873012018</v>
      </c>
    </row>
    <row r="198" spans="1:24">
      <c r="A198">
        <f t="shared" si="9"/>
        <v>2249.4349999999999</v>
      </c>
      <c r="B198">
        <v>2584</v>
      </c>
      <c r="C198">
        <v>18</v>
      </c>
      <c r="D198">
        <v>0</v>
      </c>
      <c r="E198">
        <v>17.5</v>
      </c>
      <c r="F198">
        <v>45</v>
      </c>
      <c r="G198">
        <v>22.5</v>
      </c>
      <c r="H198">
        <v>25</v>
      </c>
      <c r="I198">
        <v>88.65</v>
      </c>
      <c r="J198">
        <v>-2.327</v>
      </c>
      <c r="K198">
        <f t="shared" si="19"/>
        <v>75</v>
      </c>
      <c r="N198" s="1"/>
      <c r="O198" s="1">
        <v>0.27124999999999999</v>
      </c>
      <c r="P198">
        <f t="shared" si="13"/>
        <v>88.372298872973971</v>
      </c>
      <c r="Q198">
        <f t="shared" si="14"/>
        <v>86.127609744633745</v>
      </c>
      <c r="R198">
        <f t="shared" si="15"/>
        <v>88.31049913313511</v>
      </c>
      <c r="V198">
        <f t="shared" si="16"/>
        <v>14.238759653363644</v>
      </c>
      <c r="W198">
        <f t="shared" si="17"/>
        <v>59.238759653363644</v>
      </c>
      <c r="X198">
        <f t="shared" si="18"/>
        <v>39.238759653363076</v>
      </c>
    </row>
    <row r="199" spans="1:24">
      <c r="A199">
        <f t="shared" si="9"/>
        <v>2249.9349999999999</v>
      </c>
      <c r="B199">
        <v>2656</v>
      </c>
      <c r="C199">
        <v>17</v>
      </c>
      <c r="D199">
        <v>285</v>
      </c>
      <c r="E199">
        <v>17.5</v>
      </c>
      <c r="F199">
        <v>330</v>
      </c>
      <c r="G199">
        <v>22.5</v>
      </c>
      <c r="H199">
        <v>305</v>
      </c>
      <c r="I199">
        <v>88.492000000000004</v>
      </c>
      <c r="J199">
        <v>-4.12</v>
      </c>
      <c r="K199">
        <f t="shared" si="19"/>
        <v>-285</v>
      </c>
      <c r="N199" s="1"/>
      <c r="O199" s="1">
        <v>0.23499999999999999</v>
      </c>
      <c r="P199">
        <f t="shared" si="13"/>
        <v>87.912077198473327</v>
      </c>
      <c r="Q199">
        <f t="shared" si="14"/>
        <v>86.16385974463374</v>
      </c>
      <c r="R199">
        <f t="shared" si="15"/>
        <v>88.346749133135106</v>
      </c>
      <c r="V199">
        <f t="shared" si="16"/>
        <v>14.867703420794527</v>
      </c>
      <c r="W199">
        <f t="shared" si="17"/>
        <v>59.867703420794527</v>
      </c>
      <c r="X199">
        <f t="shared" si="18"/>
        <v>34.867703420794456</v>
      </c>
    </row>
    <row r="200" spans="1:24">
      <c r="A200">
        <f t="shared" si="9"/>
        <v>2250.4349999999999</v>
      </c>
      <c r="B200">
        <v>2728</v>
      </c>
      <c r="C200">
        <v>17</v>
      </c>
      <c r="D200">
        <v>210</v>
      </c>
      <c r="E200">
        <v>17.5</v>
      </c>
      <c r="F200">
        <v>255</v>
      </c>
      <c r="G200">
        <v>23</v>
      </c>
      <c r="H200">
        <v>230</v>
      </c>
      <c r="I200">
        <v>88.442999999999998</v>
      </c>
      <c r="J200">
        <v>-6.181</v>
      </c>
      <c r="K200">
        <f t="shared" si="19"/>
        <v>75</v>
      </c>
      <c r="N200" s="1"/>
      <c r="O200" s="1">
        <v>5.4999999999999966E-2</v>
      </c>
      <c r="P200">
        <f t="shared" si="13"/>
        <v>88.092077198473319</v>
      </c>
      <c r="Q200">
        <f t="shared" si="14"/>
        <v>86.343859744633733</v>
      </c>
      <c r="R200">
        <f t="shared" si="15"/>
        <v>88.717655491259706</v>
      </c>
      <c r="V200">
        <f t="shared" si="16"/>
        <v>15.49664718822541</v>
      </c>
      <c r="W200">
        <f t="shared" si="17"/>
        <v>60.49664718822541</v>
      </c>
      <c r="X200">
        <f t="shared" si="18"/>
        <v>35.496647188225339</v>
      </c>
    </row>
    <row r="201" spans="1:24">
      <c r="A201">
        <f t="shared" si="9"/>
        <v>2250.9349999999999</v>
      </c>
      <c r="B201">
        <v>2802</v>
      </c>
      <c r="C201">
        <v>17.5</v>
      </c>
      <c r="D201">
        <v>130</v>
      </c>
      <c r="E201">
        <v>17.5</v>
      </c>
      <c r="F201">
        <v>180</v>
      </c>
      <c r="G201">
        <v>23.5</v>
      </c>
      <c r="H201">
        <v>150</v>
      </c>
      <c r="I201">
        <v>87.694000000000003</v>
      </c>
      <c r="J201">
        <v>-3.738</v>
      </c>
      <c r="K201">
        <f t="shared" si="19"/>
        <v>75</v>
      </c>
      <c r="N201" s="1"/>
      <c r="O201" s="1">
        <v>-0.1</v>
      </c>
      <c r="P201">
        <f t="shared" si="13"/>
        <v>88.49885974463372</v>
      </c>
      <c r="Q201">
        <f t="shared" si="14"/>
        <v>86.498859744633734</v>
      </c>
      <c r="R201">
        <f t="shared" si="15"/>
        <v>89.059456016342551</v>
      </c>
      <c r="V201">
        <f t="shared" si="16"/>
        <v>13.226394949196703</v>
      </c>
      <c r="W201">
        <f t="shared" si="17"/>
        <v>63.226394949196845</v>
      </c>
      <c r="X201">
        <f t="shared" si="18"/>
        <v>33.226394949196632</v>
      </c>
    </row>
    <row r="202" spans="1:24">
      <c r="A202">
        <f t="shared" si="9"/>
        <v>2251.4349999999999</v>
      </c>
      <c r="B202">
        <v>2880</v>
      </c>
      <c r="C202">
        <v>18.5</v>
      </c>
      <c r="D202">
        <v>55</v>
      </c>
      <c r="E202">
        <v>18</v>
      </c>
      <c r="F202">
        <v>100</v>
      </c>
      <c r="G202">
        <v>23.5</v>
      </c>
      <c r="H202">
        <v>65</v>
      </c>
      <c r="I202">
        <v>87.037000000000006</v>
      </c>
      <c r="J202">
        <v>6.8701999999999996</v>
      </c>
      <c r="K202">
        <f t="shared" si="19"/>
        <v>80</v>
      </c>
      <c r="N202" s="1"/>
      <c r="O202" s="1">
        <v>-0.1</v>
      </c>
      <c r="P202">
        <f t="shared" si="13"/>
        <v>88.981533338968106</v>
      </c>
      <c r="Q202">
        <f t="shared" si="14"/>
        <v>86.743548872973946</v>
      </c>
      <c r="R202">
        <f t="shared" si="15"/>
        <v>89.059456016342551</v>
      </c>
      <c r="V202">
        <f t="shared" si="16"/>
        <v>20.157750697247323</v>
      </c>
      <c r="W202">
        <f t="shared" si="17"/>
        <v>65.157750697247323</v>
      </c>
      <c r="X202">
        <f t="shared" si="18"/>
        <v>30.157750697246968</v>
      </c>
    </row>
    <row r="203" spans="1:24">
      <c r="A203">
        <f t="shared" si="9"/>
        <v>2251.9349999999999</v>
      </c>
      <c r="B203">
        <v>2958</v>
      </c>
      <c r="C203">
        <v>20</v>
      </c>
      <c r="D203">
        <v>335</v>
      </c>
      <c r="E203">
        <v>18</v>
      </c>
      <c r="F203">
        <v>15</v>
      </c>
      <c r="G203">
        <v>23</v>
      </c>
      <c r="H203">
        <v>345</v>
      </c>
      <c r="I203">
        <v>87.361999999999995</v>
      </c>
      <c r="J203">
        <v>15.675000000000001</v>
      </c>
      <c r="K203">
        <f t="shared" si="19"/>
        <v>85</v>
      </c>
      <c r="N203" s="1"/>
      <c r="O203" s="1">
        <v>-0.1</v>
      </c>
      <c r="P203">
        <f t="shared" si="13"/>
        <v>89.658698684187456</v>
      </c>
      <c r="Q203">
        <f t="shared" si="14"/>
        <v>86.743548872973946</v>
      </c>
      <c r="R203">
        <f t="shared" si="15"/>
        <v>88.872655491259707</v>
      </c>
      <c r="V203">
        <f t="shared" si="16"/>
        <v>22.089106445297162</v>
      </c>
      <c r="W203">
        <f t="shared" si="17"/>
        <v>62.08910644529702</v>
      </c>
      <c r="X203">
        <f t="shared" si="18"/>
        <v>32.089106445297446</v>
      </c>
    </row>
    <row r="204" spans="1:24">
      <c r="A204">
        <f t="shared" si="9"/>
        <v>2252.4349999999999</v>
      </c>
      <c r="B204">
        <v>3040</v>
      </c>
      <c r="C204">
        <v>20</v>
      </c>
      <c r="D204">
        <v>250</v>
      </c>
      <c r="E204">
        <v>18.3</v>
      </c>
      <c r="F204">
        <v>290</v>
      </c>
      <c r="G204">
        <v>22.5</v>
      </c>
      <c r="H204">
        <v>260</v>
      </c>
      <c r="I204">
        <v>87.784999999999997</v>
      </c>
      <c r="J204">
        <v>16.300999999999998</v>
      </c>
      <c r="K204">
        <f t="shared" si="19"/>
        <v>-275</v>
      </c>
      <c r="N204" s="1"/>
      <c r="O204" s="1">
        <v>-6.3157894736842107E-2</v>
      </c>
      <c r="P204">
        <f t="shared" si="13"/>
        <v>89.621856578924309</v>
      </c>
      <c r="Q204">
        <f t="shared" si="14"/>
        <v>86.850278460253278</v>
      </c>
      <c r="R204">
        <f t="shared" si="15"/>
        <v>88.644907027871952</v>
      </c>
      <c r="V204">
        <f t="shared" si="16"/>
        <v>23.222070180427323</v>
      </c>
      <c r="W204">
        <f t="shared" si="17"/>
        <v>63.222070180427181</v>
      </c>
      <c r="X204">
        <f t="shared" si="18"/>
        <v>33.222070180426968</v>
      </c>
    </row>
    <row r="205" spans="1:24">
      <c r="A205">
        <f t="shared" si="9"/>
        <v>2252.9349999999999</v>
      </c>
      <c r="B205">
        <v>3124</v>
      </c>
      <c r="C205">
        <v>20</v>
      </c>
      <c r="D205">
        <v>160</v>
      </c>
      <c r="E205">
        <v>19</v>
      </c>
      <c r="F205">
        <v>200</v>
      </c>
      <c r="G205">
        <v>22.5</v>
      </c>
      <c r="H205">
        <v>170</v>
      </c>
      <c r="I205">
        <v>87.793000000000006</v>
      </c>
      <c r="J205">
        <v>19.027999999999999</v>
      </c>
      <c r="K205">
        <f t="shared" si="19"/>
        <v>90</v>
      </c>
      <c r="N205" s="1"/>
      <c r="O205" s="1">
        <v>-1.8947368421052629E-2</v>
      </c>
      <c r="P205">
        <f t="shared" si="13"/>
        <v>89.577646052608515</v>
      </c>
      <c r="Q205">
        <f t="shared" si="14"/>
        <v>87.132118158385481</v>
      </c>
      <c r="R205">
        <f t="shared" si="15"/>
        <v>88.600696501556158</v>
      </c>
      <c r="V205">
        <f t="shared" si="16"/>
        <v>21.455837909097255</v>
      </c>
      <c r="W205">
        <f t="shared" si="17"/>
        <v>61.455837909097113</v>
      </c>
      <c r="X205">
        <f t="shared" si="18"/>
        <v>31.4558379090969</v>
      </c>
    </row>
    <row r="206" spans="1:24">
      <c r="A206">
        <f t="shared" si="9"/>
        <v>2253.4349999999999</v>
      </c>
      <c r="B206">
        <v>3208</v>
      </c>
      <c r="C206">
        <v>21</v>
      </c>
      <c r="D206">
        <v>70</v>
      </c>
      <c r="E206">
        <v>21</v>
      </c>
      <c r="F206">
        <v>110</v>
      </c>
      <c r="G206">
        <v>24</v>
      </c>
      <c r="H206">
        <v>80</v>
      </c>
      <c r="I206">
        <v>87.673000000000002</v>
      </c>
      <c r="J206">
        <v>24.224</v>
      </c>
      <c r="K206">
        <f t="shared" si="19"/>
        <v>90</v>
      </c>
      <c r="N206" s="1"/>
      <c r="O206" s="1">
        <v>4.8000000000000001E-2</v>
      </c>
      <c r="P206">
        <f t="shared" si="13"/>
        <v>89.934484665586226</v>
      </c>
      <c r="Q206">
        <f t="shared" si="14"/>
        <v>87.93448466558624</v>
      </c>
      <c r="R206">
        <f t="shared" si="15"/>
        <v>89.094323605139948</v>
      </c>
      <c r="V206">
        <f t="shared" si="16"/>
        <v>19.689605637766547</v>
      </c>
      <c r="W206">
        <f t="shared" si="17"/>
        <v>59.689605637766405</v>
      </c>
      <c r="X206">
        <f t="shared" si="18"/>
        <v>29.689605637766192</v>
      </c>
    </row>
    <row r="207" spans="1:24">
      <c r="A207">
        <f t="shared" si="9"/>
        <v>2253.9349999999999</v>
      </c>
      <c r="B207">
        <v>3296</v>
      </c>
      <c r="C207">
        <v>23</v>
      </c>
      <c r="D207">
        <v>340</v>
      </c>
      <c r="E207">
        <v>22</v>
      </c>
      <c r="F207">
        <v>20</v>
      </c>
      <c r="G207">
        <v>26</v>
      </c>
      <c r="H207">
        <v>350</v>
      </c>
      <c r="I207">
        <v>87.26</v>
      </c>
      <c r="J207">
        <v>29.088999999999999</v>
      </c>
      <c r="K207">
        <f t="shared" si="19"/>
        <v>90</v>
      </c>
      <c r="N207" s="1"/>
      <c r="O207" s="1">
        <v>0.13600000000000001</v>
      </c>
      <c r="P207">
        <f t="shared" si="13"/>
        <v>90.636655491259702</v>
      </c>
      <c r="Q207">
        <f t="shared" si="14"/>
        <v>88.250552387351973</v>
      </c>
      <c r="R207">
        <f t="shared" si="15"/>
        <v>89.701565730324205</v>
      </c>
      <c r="V207">
        <f t="shared" si="16"/>
        <v>22.124981353516304</v>
      </c>
      <c r="W207">
        <f t="shared" si="17"/>
        <v>62.124981353516162</v>
      </c>
      <c r="X207">
        <f t="shared" si="18"/>
        <v>32.124981353515949</v>
      </c>
    </row>
    <row r="208" spans="1:24">
      <c r="A208">
        <f t="shared" si="9"/>
        <v>2254.4349999999999</v>
      </c>
      <c r="B208">
        <v>3386</v>
      </c>
      <c r="C208">
        <v>23</v>
      </c>
      <c r="D208">
        <v>240</v>
      </c>
      <c r="E208">
        <v>23</v>
      </c>
      <c r="F208">
        <v>280</v>
      </c>
      <c r="G208">
        <v>27</v>
      </c>
      <c r="H208">
        <v>250</v>
      </c>
      <c r="I208">
        <v>87.652000000000001</v>
      </c>
      <c r="J208">
        <v>26.137</v>
      </c>
      <c r="K208">
        <f t="shared" si="19"/>
        <v>-260</v>
      </c>
      <c r="N208" s="1"/>
      <c r="O208" s="1">
        <v>0.22476190476190477</v>
      </c>
      <c r="P208">
        <f t="shared" si="13"/>
        <v>90.547893586497793</v>
      </c>
      <c r="Q208">
        <f t="shared" si="14"/>
        <v>88.547893586497807</v>
      </c>
      <c r="R208">
        <f t="shared" si="15"/>
        <v>89.940612149325673</v>
      </c>
      <c r="V208">
        <f t="shared" si="16"/>
        <v>16.66116106280505</v>
      </c>
      <c r="W208">
        <f t="shared" si="17"/>
        <v>56.661161062805547</v>
      </c>
      <c r="X208">
        <f t="shared" si="18"/>
        <v>26.661161062805334</v>
      </c>
    </row>
    <row r="209" spans="1:24">
      <c r="A209">
        <f t="shared" si="9"/>
        <v>2254.9349999999999</v>
      </c>
      <c r="B209">
        <v>3480</v>
      </c>
      <c r="C209">
        <v>22.5</v>
      </c>
      <c r="D209">
        <v>135</v>
      </c>
      <c r="E209">
        <v>23</v>
      </c>
      <c r="F209">
        <v>170</v>
      </c>
      <c r="G209">
        <v>27</v>
      </c>
      <c r="H209">
        <v>150</v>
      </c>
      <c r="I209">
        <v>88.251000000000005</v>
      </c>
      <c r="J209">
        <v>12.443</v>
      </c>
      <c r="K209">
        <f t="shared" si="19"/>
        <v>110</v>
      </c>
      <c r="N209" s="1"/>
      <c r="O209" s="1">
        <v>0.31428571428571428</v>
      </c>
      <c r="P209">
        <f t="shared" si="13"/>
        <v>90.267463418849374</v>
      </c>
      <c r="Q209">
        <f t="shared" si="14"/>
        <v>88.458369776973996</v>
      </c>
      <c r="R209">
        <f t="shared" si="15"/>
        <v>89.851088339801862</v>
      </c>
      <c r="V209">
        <f t="shared" si="16"/>
        <v>10.398948759173479</v>
      </c>
      <c r="W209">
        <f t="shared" si="17"/>
        <v>45.398948759173194</v>
      </c>
      <c r="X209">
        <f t="shared" si="18"/>
        <v>25.398948759173265</v>
      </c>
    </row>
    <row r="210" spans="1:24">
      <c r="A210">
        <f t="shared" si="9"/>
        <v>2255.4349999999999</v>
      </c>
      <c r="B210">
        <v>3574</v>
      </c>
      <c r="C210">
        <v>22.5</v>
      </c>
      <c r="D210">
        <v>30</v>
      </c>
      <c r="E210">
        <v>23</v>
      </c>
      <c r="F210">
        <v>70</v>
      </c>
      <c r="G210">
        <v>27</v>
      </c>
      <c r="H210">
        <v>45</v>
      </c>
      <c r="I210">
        <v>88.897999999999996</v>
      </c>
      <c r="J210">
        <v>2.4544000000000001</v>
      </c>
      <c r="K210">
        <f t="shared" si="19"/>
        <v>100</v>
      </c>
      <c r="N210" s="1"/>
      <c r="O210" s="1">
        <v>0.40521739130434786</v>
      </c>
      <c r="P210">
        <f t="shared" si="13"/>
        <v>90.176531741830743</v>
      </c>
      <c r="Q210">
        <f t="shared" si="14"/>
        <v>88.367438099955365</v>
      </c>
      <c r="R210">
        <f t="shared" si="15"/>
        <v>89.760156662783231</v>
      </c>
      <c r="V210">
        <f t="shared" si="16"/>
        <v>4.1367364555419073</v>
      </c>
      <c r="W210">
        <f t="shared" si="17"/>
        <v>44.136736455541765</v>
      </c>
      <c r="X210">
        <f t="shared" si="18"/>
        <v>19.136736455541694</v>
      </c>
    </row>
    <row r="211" spans="1:24">
      <c r="A211">
        <f t="shared" si="9"/>
        <v>2255.9349999999999</v>
      </c>
      <c r="B211">
        <v>3672</v>
      </c>
      <c r="C211">
        <v>23</v>
      </c>
      <c r="D211">
        <v>285</v>
      </c>
      <c r="E211">
        <v>23</v>
      </c>
      <c r="F211">
        <v>330</v>
      </c>
      <c r="G211">
        <v>28.5</v>
      </c>
      <c r="H211">
        <v>305</v>
      </c>
      <c r="I211">
        <v>89.475999999999999</v>
      </c>
      <c r="J211">
        <v>-5.4009999999999998</v>
      </c>
      <c r="K211">
        <f t="shared" si="19"/>
        <v>-260</v>
      </c>
      <c r="N211" s="1"/>
      <c r="O211" s="1">
        <v>0.53304347826086951</v>
      </c>
      <c r="P211">
        <f t="shared" si="13"/>
        <v>90.239612012998833</v>
      </c>
      <c r="Q211">
        <f t="shared" si="14"/>
        <v>88.239612012998847</v>
      </c>
      <c r="R211">
        <f t="shared" si="15"/>
        <v>90.10195249281719</v>
      </c>
      <c r="V211">
        <f t="shared" si="16"/>
        <v>2.0761321389895215</v>
      </c>
      <c r="W211">
        <f t="shared" si="17"/>
        <v>47.076132138989522</v>
      </c>
      <c r="X211">
        <f t="shared" si="18"/>
        <v>22.07613213898945</v>
      </c>
    </row>
    <row r="212" spans="1:24">
      <c r="A212">
        <f t="shared" ref="A212:A274" si="20">+A211+0.5</f>
        <v>2256.4349999999999</v>
      </c>
      <c r="B212">
        <v>3772</v>
      </c>
      <c r="C212">
        <v>22</v>
      </c>
      <c r="D212">
        <v>180</v>
      </c>
      <c r="E212">
        <v>23.5</v>
      </c>
      <c r="F212">
        <v>220</v>
      </c>
      <c r="G212">
        <v>28.5</v>
      </c>
      <c r="H212">
        <v>200</v>
      </c>
      <c r="I212">
        <v>88.540999999999997</v>
      </c>
      <c r="J212">
        <v>-6.492</v>
      </c>
      <c r="K212">
        <f t="shared" si="19"/>
        <v>110</v>
      </c>
      <c r="N212" s="1"/>
      <c r="O212" s="1">
        <v>0.66347826086956518</v>
      </c>
      <c r="P212">
        <f t="shared" si="13"/>
        <v>89.723074126482402</v>
      </c>
      <c r="Q212">
        <f t="shared" si="14"/>
        <v>88.29597775547299</v>
      </c>
      <c r="R212">
        <f t="shared" si="15"/>
        <v>89.971517710208488</v>
      </c>
      <c r="V212">
        <f t="shared" si="16"/>
        <v>2.1163318159776878</v>
      </c>
      <c r="W212">
        <f t="shared" si="17"/>
        <v>42.116331815977546</v>
      </c>
      <c r="X212">
        <f t="shared" si="18"/>
        <v>22.116331815977617</v>
      </c>
    </row>
    <row r="213" spans="1:24">
      <c r="A213">
        <f t="shared" si="20"/>
        <v>2256.9349999999999</v>
      </c>
      <c r="B213">
        <v>3876</v>
      </c>
      <c r="C213">
        <v>21</v>
      </c>
      <c r="D213">
        <v>65</v>
      </c>
      <c r="E213">
        <v>23</v>
      </c>
      <c r="F213">
        <v>110</v>
      </c>
      <c r="G213">
        <v>27</v>
      </c>
      <c r="H213">
        <v>90</v>
      </c>
      <c r="I213">
        <v>88.379000000000005</v>
      </c>
      <c r="J213">
        <v>-3.5089999999999999</v>
      </c>
      <c r="K213">
        <f t="shared" si="19"/>
        <v>110</v>
      </c>
      <c r="N213" s="1"/>
      <c r="O213" s="1">
        <v>0.7</v>
      </c>
      <c r="P213">
        <f t="shared" si="13"/>
        <v>89.282484665586225</v>
      </c>
      <c r="Q213">
        <f t="shared" si="14"/>
        <v>88.072655491259709</v>
      </c>
      <c r="R213">
        <f t="shared" si="15"/>
        <v>89.465374054087576</v>
      </c>
      <c r="V213">
        <f t="shared" si="16"/>
        <v>-3.6418605199552445</v>
      </c>
      <c r="W213">
        <f t="shared" si="17"/>
        <v>41.358139480044755</v>
      </c>
      <c r="X213">
        <f t="shared" si="18"/>
        <v>21.358139480044827</v>
      </c>
    </row>
    <row r="214" spans="1:24">
      <c r="A214">
        <f t="shared" si="20"/>
        <v>2257.4349999999999</v>
      </c>
      <c r="B214">
        <v>3982</v>
      </c>
      <c r="C214">
        <v>20.5</v>
      </c>
      <c r="D214">
        <v>315</v>
      </c>
      <c r="E214">
        <v>22</v>
      </c>
      <c r="F214">
        <v>0</v>
      </c>
      <c r="G214">
        <v>26</v>
      </c>
      <c r="H214">
        <v>340</v>
      </c>
      <c r="I214">
        <v>88.739000000000004</v>
      </c>
      <c r="J214">
        <v>-7.5430000000000001</v>
      </c>
      <c r="K214">
        <f t="shared" si="19"/>
        <v>110</v>
      </c>
      <c r="N214" s="1"/>
      <c r="O214" s="1">
        <v>0.7</v>
      </c>
      <c r="P214">
        <f t="shared" si="13"/>
        <v>89.073175992022925</v>
      </c>
      <c r="Q214">
        <f t="shared" si="14"/>
        <v>87.686552387351966</v>
      </c>
      <c r="R214">
        <f t="shared" si="15"/>
        <v>89.137565730324198</v>
      </c>
      <c r="V214">
        <f t="shared" si="16"/>
        <v>-2.2992488623481222</v>
      </c>
      <c r="W214">
        <f t="shared" si="17"/>
        <v>42.700751137651878</v>
      </c>
      <c r="X214">
        <f t="shared" si="18"/>
        <v>22.700751137651949</v>
      </c>
    </row>
    <row r="215" spans="1:24">
      <c r="A215">
        <f t="shared" si="20"/>
        <v>2257.9349999999999</v>
      </c>
      <c r="B215">
        <v>4092</v>
      </c>
      <c r="C215">
        <v>21.5</v>
      </c>
      <c r="D215">
        <v>205</v>
      </c>
      <c r="E215">
        <v>23</v>
      </c>
      <c r="F215">
        <v>250</v>
      </c>
      <c r="G215">
        <v>26</v>
      </c>
      <c r="H215">
        <v>225</v>
      </c>
      <c r="I215">
        <v>89.122</v>
      </c>
      <c r="J215">
        <v>-10.75</v>
      </c>
      <c r="K215">
        <f t="shared" si="19"/>
        <v>-250</v>
      </c>
      <c r="N215" s="1"/>
      <c r="O215" s="1">
        <v>0.7208</v>
      </c>
      <c r="P215">
        <f t="shared" ref="P215:P274" si="21">20*LOG(P$12*$C215/0.00002)-$N215-$O215+P$4</f>
        <v>89.466067969219964</v>
      </c>
      <c r="Q215">
        <f t="shared" ref="Q215:Q274" si="22">20*LOG(Q$12*$E215/0.00002)-$N215-$O215+Q$4</f>
        <v>88.051855491259715</v>
      </c>
      <c r="R215">
        <f t="shared" ref="R215:R274" si="23">20*LOG(R$12*$G215/0.00002)-$N215-$O215+R$4</f>
        <v>89.116765730324204</v>
      </c>
      <c r="V215">
        <f t="shared" ref="V215:V230" si="24">(D215/360+V$4/V$5*$B215+0.5*V$6-INT(D215/360+V$4/V$5*$B215+0.5*V$6)+IF(D215/360+V$4/V$5*$B215+0.5*V$6-INT(D215/360+V$4/V$5*$B215+0.5*V$6)&gt;0.5,-1,0))*360</f>
        <v>3.2449707823381857</v>
      </c>
      <c r="W215">
        <f t="shared" ref="W215:W230" si="25">(F215/360+W$4/W$5*$B215+0.5*W$6-INT(F215/360+W$4/W$5*$B215+0.5*W$6)+IF(F215/360+W$4/W$5*$B215+0.5*W$6-INT(F215/360+W$4/W$5*$B215+0.5*W$6)&gt;0.5,-1,0))*360</f>
        <v>48.244970782338186</v>
      </c>
      <c r="X215">
        <f t="shared" ref="X215:X230" si="26">(H215/360+X$4/X$5*$B215+0.5*X$6-INT(H215/360+X$4/X$5*$B215+0.5*X$6)+IF(H215/360+X$4/X$5*$B215+0.5*X$6-INT(H215/360+X$4/X$5*$B215+0.5*X$6)&gt;0.5,-1,0))*360</f>
        <v>23.244970782338115</v>
      </c>
    </row>
    <row r="216" spans="1:24">
      <c r="A216">
        <f t="shared" si="20"/>
        <v>2258.4349999999999</v>
      </c>
      <c r="B216">
        <v>4202</v>
      </c>
      <c r="C216">
        <v>22.5</v>
      </c>
      <c r="D216">
        <v>85</v>
      </c>
      <c r="E216">
        <v>25</v>
      </c>
      <c r="F216">
        <v>135</v>
      </c>
      <c r="G216">
        <v>27.5</v>
      </c>
      <c r="H216">
        <v>100</v>
      </c>
      <c r="I216">
        <v>89.055000000000007</v>
      </c>
      <c r="J216">
        <v>-14.26</v>
      </c>
      <c r="K216">
        <f t="shared" ref="K216:K230" si="27">+F215-F216</f>
        <v>115</v>
      </c>
      <c r="N216" s="1"/>
      <c r="O216" s="1">
        <v>0.76480000000000004</v>
      </c>
      <c r="P216">
        <f t="shared" si="21"/>
        <v>89.816949133135097</v>
      </c>
      <c r="Q216">
        <f t="shared" si="22"/>
        <v>88.732098944348607</v>
      </c>
      <c r="R216">
        <f t="shared" si="23"/>
        <v>89.559952647513114</v>
      </c>
      <c r="V216">
        <f t="shared" si="24"/>
        <v>-1.2108095729751511</v>
      </c>
      <c r="W216">
        <f t="shared" si="25"/>
        <v>48.789190427024991</v>
      </c>
      <c r="X216">
        <f t="shared" si="26"/>
        <v>13.789190427025275</v>
      </c>
    </row>
    <row r="217" spans="1:24">
      <c r="A217">
        <f t="shared" si="20"/>
        <v>2258.9349999999999</v>
      </c>
      <c r="B217">
        <v>4318</v>
      </c>
      <c r="C217">
        <v>23.5</v>
      </c>
      <c r="D217">
        <v>320</v>
      </c>
      <c r="E217">
        <v>26</v>
      </c>
      <c r="F217">
        <v>15</v>
      </c>
      <c r="G217">
        <v>28</v>
      </c>
      <c r="H217">
        <v>340</v>
      </c>
      <c r="I217">
        <v>88.894999999999996</v>
      </c>
      <c r="J217">
        <v>-20.28</v>
      </c>
      <c r="K217">
        <f t="shared" si="27"/>
        <v>120</v>
      </c>
      <c r="N217" s="1"/>
      <c r="O217" s="1">
        <v>0.81</v>
      </c>
      <c r="P217">
        <f t="shared" si="21"/>
        <v>90.149456016342569</v>
      </c>
      <c r="Q217">
        <f t="shared" si="22"/>
        <v>89.027565730324199</v>
      </c>
      <c r="R217">
        <f t="shared" si="23"/>
        <v>89.671259397752237</v>
      </c>
      <c r="V217">
        <f t="shared" si="24"/>
        <v>-4.3641779476688924</v>
      </c>
      <c r="W217">
        <f t="shared" si="25"/>
        <v>50.635822052330752</v>
      </c>
      <c r="X217">
        <f t="shared" si="26"/>
        <v>15.635822052331037</v>
      </c>
    </row>
    <row r="218" spans="1:24">
      <c r="A218">
        <f t="shared" si="20"/>
        <v>2259.4349999999999</v>
      </c>
      <c r="B218">
        <v>4436</v>
      </c>
      <c r="C218">
        <v>24</v>
      </c>
      <c r="D218">
        <v>190</v>
      </c>
      <c r="E218">
        <v>26.5</v>
      </c>
      <c r="F218">
        <v>240</v>
      </c>
      <c r="G218">
        <v>30</v>
      </c>
      <c r="H218">
        <v>210</v>
      </c>
      <c r="I218">
        <v>88.573999999999998</v>
      </c>
      <c r="J218">
        <v>-27.55</v>
      </c>
      <c r="K218">
        <f t="shared" si="27"/>
        <v>-225</v>
      </c>
      <c r="N218" s="1"/>
      <c r="O218" s="1">
        <v>0.8521428571428572</v>
      </c>
      <c r="P218">
        <f t="shared" si="21"/>
        <v>90.290180747997113</v>
      </c>
      <c r="Q218">
        <f t="shared" si="22"/>
        <v>89.150873392501154</v>
      </c>
      <c r="R218">
        <f t="shared" si="23"/>
        <v>90.228381008158252</v>
      </c>
      <c r="V218">
        <f t="shared" si="24"/>
        <v>-10.416742328823503</v>
      </c>
      <c r="W218">
        <f t="shared" si="25"/>
        <v>39.583257671176</v>
      </c>
      <c r="X218">
        <f t="shared" si="26"/>
        <v>9.5832576711764261</v>
      </c>
    </row>
    <row r="219" spans="1:24">
      <c r="A219">
        <f t="shared" si="20"/>
        <v>2259.9349999999999</v>
      </c>
      <c r="B219">
        <v>4558</v>
      </c>
      <c r="C219">
        <v>24</v>
      </c>
      <c r="D219">
        <v>60</v>
      </c>
      <c r="E219">
        <v>27</v>
      </c>
      <c r="F219">
        <v>110</v>
      </c>
      <c r="G219">
        <v>31</v>
      </c>
      <c r="H219">
        <v>80</v>
      </c>
      <c r="I219">
        <v>89.191999999999993</v>
      </c>
      <c r="J219">
        <v>-27.7</v>
      </c>
      <c r="K219">
        <f t="shared" si="27"/>
        <v>130</v>
      </c>
      <c r="N219" s="1"/>
      <c r="O219" s="1">
        <v>0.89571428571428569</v>
      </c>
      <c r="P219">
        <f t="shared" si="21"/>
        <v>90.246609319425673</v>
      </c>
      <c r="Q219">
        <f t="shared" si="22"/>
        <v>89.269659768373288</v>
      </c>
      <c r="R219">
        <f t="shared" si="23"/>
        <v>90.469618361879</v>
      </c>
      <c r="V219">
        <f t="shared" si="24"/>
        <v>-12.267698722898928</v>
      </c>
      <c r="W219">
        <f t="shared" si="25"/>
        <v>37.732301277101215</v>
      </c>
      <c r="X219">
        <f t="shared" si="26"/>
        <v>7.7323012771010013</v>
      </c>
    </row>
    <row r="220" spans="1:24">
      <c r="A220">
        <f t="shared" si="20"/>
        <v>2260.4349999999999</v>
      </c>
      <c r="B220">
        <v>4682</v>
      </c>
      <c r="C220">
        <v>22.5</v>
      </c>
      <c r="D220">
        <v>290</v>
      </c>
      <c r="E220">
        <v>25.5</v>
      </c>
      <c r="F220">
        <v>340</v>
      </c>
      <c r="G220">
        <v>30</v>
      </c>
      <c r="H220">
        <v>310</v>
      </c>
      <c r="I220">
        <v>89.706000000000003</v>
      </c>
      <c r="J220">
        <v>-36.71</v>
      </c>
      <c r="K220">
        <f t="shared" si="27"/>
        <v>-230</v>
      </c>
      <c r="N220" s="1"/>
      <c r="O220" s="1">
        <v>1.0158620689655173</v>
      </c>
      <c r="P220">
        <f t="shared" si="21"/>
        <v>89.565887064169573</v>
      </c>
      <c r="Q220">
        <f t="shared" si="22"/>
        <v>88.653040310621421</v>
      </c>
      <c r="R220">
        <f t="shared" si="23"/>
        <v>90.064661796335585</v>
      </c>
      <c r="V220">
        <f t="shared" si="24"/>
        <v>-12.0178511234338</v>
      </c>
      <c r="W220">
        <f t="shared" si="25"/>
        <v>37.982148876566342</v>
      </c>
      <c r="X220">
        <f t="shared" si="26"/>
        <v>7.9821488765661286</v>
      </c>
    </row>
    <row r="221" spans="1:24">
      <c r="A221">
        <f t="shared" si="20"/>
        <v>2260.9349999999999</v>
      </c>
      <c r="B221">
        <v>4810</v>
      </c>
      <c r="C221">
        <v>21.5</v>
      </c>
      <c r="D221">
        <v>160</v>
      </c>
      <c r="E221">
        <v>25</v>
      </c>
      <c r="F221">
        <v>200</v>
      </c>
      <c r="G221">
        <v>29</v>
      </c>
      <c r="H221">
        <v>170</v>
      </c>
      <c r="I221">
        <v>90.049000000000007</v>
      </c>
      <c r="J221">
        <v>-48.02</v>
      </c>
      <c r="K221">
        <f t="shared" si="27"/>
        <v>140</v>
      </c>
      <c r="N221" s="1"/>
      <c r="O221" s="1">
        <v>1.1482758620689655</v>
      </c>
      <c r="P221">
        <f t="shared" si="21"/>
        <v>89.03859210715099</v>
      </c>
      <c r="Q221">
        <f t="shared" si="22"/>
        <v>88.34862308227963</v>
      </c>
      <c r="R221">
        <f t="shared" si="23"/>
        <v>89.637782866817986</v>
      </c>
      <c r="V221">
        <f t="shared" si="24"/>
        <v>-7.5663955368894875</v>
      </c>
      <c r="W221">
        <f t="shared" si="25"/>
        <v>32.43360446311037</v>
      </c>
      <c r="X221">
        <f t="shared" si="26"/>
        <v>2.4336044631101572</v>
      </c>
    </row>
    <row r="222" spans="1:24">
      <c r="A222">
        <f t="shared" si="20"/>
        <v>2261.4349999999999</v>
      </c>
      <c r="B222">
        <v>4942</v>
      </c>
      <c r="C222">
        <v>21</v>
      </c>
      <c r="D222">
        <v>25</v>
      </c>
      <c r="E222">
        <v>24.5</v>
      </c>
      <c r="F222">
        <v>60</v>
      </c>
      <c r="G222">
        <v>28</v>
      </c>
      <c r="H222">
        <v>30</v>
      </c>
      <c r="I222">
        <v>90.055000000000007</v>
      </c>
      <c r="J222">
        <v>-59.86</v>
      </c>
      <c r="K222">
        <f t="shared" si="27"/>
        <v>140</v>
      </c>
      <c r="N222" s="1"/>
      <c r="O222" s="1">
        <v>1.2546666666666666</v>
      </c>
      <c r="P222">
        <f t="shared" si="21"/>
        <v>88.727817998919562</v>
      </c>
      <c r="Q222">
        <f t="shared" si="22"/>
        <v>88.066753791531838</v>
      </c>
      <c r="R222">
        <f t="shared" si="23"/>
        <v>89.226592731085574</v>
      </c>
      <c r="V222">
        <f t="shared" si="24"/>
        <v>-3.9133319632654917</v>
      </c>
      <c r="W222">
        <f t="shared" si="25"/>
        <v>31.086668036734224</v>
      </c>
      <c r="X222">
        <f t="shared" si="26"/>
        <v>1.0866680367346504</v>
      </c>
    </row>
    <row r="223" spans="1:24">
      <c r="A223">
        <f t="shared" si="20"/>
        <v>2261.9349999999999</v>
      </c>
      <c r="B223">
        <v>5078</v>
      </c>
      <c r="C223">
        <v>23</v>
      </c>
      <c r="D223">
        <v>250</v>
      </c>
      <c r="E223">
        <v>26.5</v>
      </c>
      <c r="F223">
        <v>270</v>
      </c>
      <c r="G223">
        <v>29</v>
      </c>
      <c r="H223">
        <v>260</v>
      </c>
      <c r="I223">
        <v>90.058999999999997</v>
      </c>
      <c r="J223">
        <v>-56.75</v>
      </c>
      <c r="K223">
        <f t="shared" si="27"/>
        <v>-210</v>
      </c>
      <c r="N223" s="1"/>
      <c r="O223" s="1">
        <v>1.3453333333333333</v>
      </c>
      <c r="P223">
        <f t="shared" si="21"/>
        <v>89.427322157926369</v>
      </c>
      <c r="Q223">
        <f t="shared" si="22"/>
        <v>88.657682916310677</v>
      </c>
      <c r="R223">
        <f t="shared" si="23"/>
        <v>89.440725395553628</v>
      </c>
      <c r="V223">
        <f t="shared" si="24"/>
        <v>3.9413395974376897</v>
      </c>
      <c r="W223">
        <f t="shared" si="25"/>
        <v>23.941339597436979</v>
      </c>
      <c r="X223">
        <f t="shared" si="26"/>
        <v>13.941339597436695</v>
      </c>
    </row>
    <row r="224" spans="1:24">
      <c r="A224">
        <f t="shared" si="20"/>
        <v>2262.4349999999999</v>
      </c>
      <c r="B224">
        <v>5216</v>
      </c>
      <c r="C224">
        <v>26</v>
      </c>
      <c r="D224">
        <v>100</v>
      </c>
      <c r="E224">
        <v>29.5</v>
      </c>
      <c r="F224">
        <v>120</v>
      </c>
      <c r="G224">
        <v>32</v>
      </c>
      <c r="H224">
        <v>110</v>
      </c>
      <c r="I224">
        <v>90.54</v>
      </c>
      <c r="J224">
        <v>-54.57</v>
      </c>
      <c r="K224">
        <f t="shared" si="27"/>
        <v>150</v>
      </c>
      <c r="N224" s="1"/>
      <c r="O224" s="1">
        <v>1.416969696969697</v>
      </c>
      <c r="P224">
        <f t="shared" si="21"/>
        <v>90.420596033354499</v>
      </c>
      <c r="Q224">
        <f t="shared" si="22"/>
        <v>89.517569393501404</v>
      </c>
      <c r="R224">
        <f t="shared" si="23"/>
        <v>90.224128640336275</v>
      </c>
      <c r="V224">
        <f t="shared" si="24"/>
        <v>-1.1031848483190032</v>
      </c>
      <c r="W224">
        <f t="shared" si="25"/>
        <v>18.896815151680926</v>
      </c>
      <c r="X224">
        <f t="shared" si="26"/>
        <v>8.8968151516806415</v>
      </c>
    </row>
    <row r="225" spans="1:24">
      <c r="A225">
        <f t="shared" si="20"/>
        <v>2262.9349999999999</v>
      </c>
      <c r="B225">
        <v>5360</v>
      </c>
      <c r="C225">
        <v>26</v>
      </c>
      <c r="D225">
        <v>300</v>
      </c>
      <c r="E225">
        <v>31</v>
      </c>
      <c r="F225">
        <v>330</v>
      </c>
      <c r="G225">
        <v>34</v>
      </c>
      <c r="H225">
        <v>310</v>
      </c>
      <c r="I225">
        <v>90.66</v>
      </c>
      <c r="J225">
        <v>-61.8</v>
      </c>
      <c r="K225">
        <f t="shared" si="27"/>
        <v>-210</v>
      </c>
      <c r="N225" s="1"/>
      <c r="O225" s="1">
        <v>1.4606060606060605</v>
      </c>
      <c r="P225">
        <f t="shared" si="21"/>
        <v>90.376959669718147</v>
      </c>
      <c r="Q225">
        <f t="shared" si="22"/>
        <v>89.904726586987238</v>
      </c>
      <c r="R225">
        <f t="shared" si="23"/>
        <v>90.707071051146897</v>
      </c>
      <c r="V225">
        <f t="shared" si="24"/>
        <v>-9.8452973134568822</v>
      </c>
      <c r="W225">
        <f t="shared" si="25"/>
        <v>20.154702686542691</v>
      </c>
      <c r="X225">
        <f t="shared" si="26"/>
        <v>0.15470268654340202</v>
      </c>
    </row>
    <row r="226" spans="1:24">
      <c r="A226">
        <f t="shared" si="20"/>
        <v>2263.4349999999999</v>
      </c>
      <c r="B226">
        <v>5506</v>
      </c>
      <c r="C226">
        <v>27</v>
      </c>
      <c r="D226">
        <v>150</v>
      </c>
      <c r="E226">
        <v>31</v>
      </c>
      <c r="F226">
        <v>180</v>
      </c>
      <c r="G226">
        <v>33</v>
      </c>
      <c r="H226">
        <v>150</v>
      </c>
      <c r="I226">
        <v>90.462000000000003</v>
      </c>
      <c r="J226">
        <v>-63.69</v>
      </c>
      <c r="K226">
        <f t="shared" si="27"/>
        <v>150</v>
      </c>
      <c r="N226" s="1"/>
      <c r="O226" s="1">
        <v>1.5091428571428571</v>
      </c>
      <c r="P226">
        <f t="shared" si="21"/>
        <v>90.656231196944731</v>
      </c>
      <c r="Q226">
        <f t="shared" si="22"/>
        <v>89.856189790450429</v>
      </c>
      <c r="R226">
        <f t="shared" si="23"/>
        <v>90.399234711322734</v>
      </c>
      <c r="V226">
        <f t="shared" si="24"/>
        <v>-6.4866057850545644</v>
      </c>
      <c r="W226">
        <f t="shared" si="25"/>
        <v>23.513394214945009</v>
      </c>
      <c r="X226">
        <f t="shared" si="26"/>
        <v>-6.4866057850545644</v>
      </c>
    </row>
    <row r="227" spans="1:24">
      <c r="A227">
        <f t="shared" si="20"/>
        <v>2263.9349999999999</v>
      </c>
      <c r="B227">
        <v>5658</v>
      </c>
      <c r="C227">
        <v>26.5</v>
      </c>
      <c r="D227">
        <v>340</v>
      </c>
      <c r="E227">
        <v>30</v>
      </c>
      <c r="F227">
        <v>20</v>
      </c>
      <c r="G227">
        <v>35</v>
      </c>
      <c r="H227">
        <v>340</v>
      </c>
      <c r="I227">
        <v>90.454999999999998</v>
      </c>
      <c r="J227">
        <v>-60.42</v>
      </c>
      <c r="K227">
        <f t="shared" si="27"/>
        <v>160</v>
      </c>
      <c r="N227" s="1"/>
      <c r="O227" s="1">
        <v>1.5960000000000001</v>
      </c>
      <c r="P227">
        <f t="shared" si="21"/>
        <v>90.407016249643988</v>
      </c>
      <c r="Q227">
        <f t="shared" si="22"/>
        <v>89.484523865301099</v>
      </c>
      <c r="R227">
        <f t="shared" si="23"/>
        <v>90.823459657913361</v>
      </c>
      <c r="V227">
        <f t="shared" si="24"/>
        <v>-16.825502276033717</v>
      </c>
      <c r="W227">
        <f t="shared" si="25"/>
        <v>23.17449772396742</v>
      </c>
      <c r="X227">
        <f t="shared" si="26"/>
        <v>-16.825502276033717</v>
      </c>
    </row>
    <row r="228" spans="1:24">
      <c r="A228">
        <f t="shared" si="20"/>
        <v>2264.4349999999999</v>
      </c>
      <c r="B228">
        <v>5812</v>
      </c>
      <c r="C228">
        <v>25</v>
      </c>
      <c r="D228">
        <v>170</v>
      </c>
      <c r="E228">
        <v>29</v>
      </c>
      <c r="F228">
        <v>210</v>
      </c>
      <c r="G228">
        <v>34</v>
      </c>
      <c r="H228">
        <v>170</v>
      </c>
      <c r="I228">
        <v>91.114999999999995</v>
      </c>
      <c r="J228">
        <v>-57.55</v>
      </c>
      <c r="K228">
        <f t="shared" si="27"/>
        <v>-190</v>
      </c>
      <c r="N228" s="1"/>
      <c r="O228" s="1">
        <v>1.6839999999999999</v>
      </c>
      <c r="P228">
        <f t="shared" si="21"/>
        <v>89.812898944348589</v>
      </c>
      <c r="Q228">
        <f t="shared" si="22"/>
        <v>89.102058728886959</v>
      </c>
      <c r="R228">
        <f t="shared" si="23"/>
        <v>90.483677111752954</v>
      </c>
      <c r="V228">
        <f t="shared" si="24"/>
        <v>-25.063594773472317</v>
      </c>
      <c r="W228">
        <f t="shared" si="25"/>
        <v>14.93640522652754</v>
      </c>
      <c r="X228">
        <f t="shared" si="26"/>
        <v>-25.063594773472317</v>
      </c>
    </row>
    <row r="229" spans="1:24">
      <c r="A229">
        <f t="shared" si="20"/>
        <v>2264.9349999999999</v>
      </c>
      <c r="B229">
        <v>5970</v>
      </c>
      <c r="C229">
        <v>28</v>
      </c>
      <c r="D229">
        <v>0</v>
      </c>
      <c r="E229">
        <v>31</v>
      </c>
      <c r="F229">
        <v>60</v>
      </c>
      <c r="G229">
        <v>35</v>
      </c>
      <c r="H229">
        <v>10</v>
      </c>
      <c r="I229">
        <v>90.885999999999996</v>
      </c>
      <c r="J229">
        <v>-56.7</v>
      </c>
      <c r="K229">
        <f t="shared" si="27"/>
        <v>150</v>
      </c>
      <c r="N229" s="1"/>
      <c r="O229" s="1">
        <v>1.7351351351351352</v>
      </c>
      <c r="P229">
        <f t="shared" si="21"/>
        <v>90.746124262617087</v>
      </c>
      <c r="Q229">
        <f t="shared" si="22"/>
        <v>89.630197512458153</v>
      </c>
      <c r="R229">
        <f t="shared" si="23"/>
        <v>90.684324522778226</v>
      </c>
      <c r="V229">
        <f t="shared" si="24"/>
        <v>-29.100079283832372</v>
      </c>
      <c r="W229">
        <f t="shared" si="25"/>
        <v>30.899920716168054</v>
      </c>
      <c r="X229">
        <f t="shared" si="26"/>
        <v>-19.100079283832088</v>
      </c>
    </row>
    <row r="230" spans="1:24">
      <c r="A230">
        <f t="shared" si="20"/>
        <v>2265.4349999999999</v>
      </c>
      <c r="B230">
        <v>6134</v>
      </c>
      <c r="C230">
        <v>28</v>
      </c>
      <c r="D230">
        <v>190</v>
      </c>
      <c r="E230">
        <v>32.5</v>
      </c>
      <c r="F230">
        <v>250</v>
      </c>
      <c r="G230">
        <v>36</v>
      </c>
      <c r="H230">
        <v>200</v>
      </c>
      <c r="I230">
        <v>90.614999999999995</v>
      </c>
      <c r="J230">
        <v>-43.82</v>
      </c>
      <c r="K230">
        <f t="shared" si="27"/>
        <v>-190</v>
      </c>
      <c r="N230" s="1"/>
      <c r="O230" s="1">
        <v>1.7794594594594595</v>
      </c>
      <c r="P230">
        <f t="shared" si="21"/>
        <v>90.701799938292766</v>
      </c>
      <c r="Q230">
        <f t="shared" si="22"/>
        <v>89.99630653102588</v>
      </c>
      <c r="R230">
        <f t="shared" si="23"/>
        <v>90.884689326794117</v>
      </c>
      <c r="V230">
        <f t="shared" si="24"/>
        <v>-26.834151813572049</v>
      </c>
      <c r="W230">
        <f t="shared" si="25"/>
        <v>33.165848186427098</v>
      </c>
      <c r="X230">
        <f t="shared" si="26"/>
        <v>-16.834151813571765</v>
      </c>
    </row>
    <row r="231" spans="1:24">
      <c r="A231">
        <f t="shared" si="20"/>
        <v>2265.9349999999999</v>
      </c>
      <c r="B231">
        <v>6302</v>
      </c>
      <c r="C231">
        <v>29</v>
      </c>
      <c r="E231">
        <v>34</v>
      </c>
      <c r="G231">
        <v>37</v>
      </c>
      <c r="I231">
        <v>91.204999999999998</v>
      </c>
      <c r="J231">
        <v>-28.18</v>
      </c>
      <c r="N231" s="1"/>
      <c r="O231" s="1">
        <v>1.7770000000000001</v>
      </c>
      <c r="P231">
        <f t="shared" si="21"/>
        <v>91.00905872888697</v>
      </c>
      <c r="Q231">
        <f t="shared" si="22"/>
        <v>90.39067711175295</v>
      </c>
      <c r="R231">
        <f t="shared" si="23"/>
        <v>91.12513325224775</v>
      </c>
    </row>
    <row r="232" spans="1:24">
      <c r="A232">
        <f t="shared" si="20"/>
        <v>2266.4349999999999</v>
      </c>
      <c r="B232">
        <v>6476</v>
      </c>
      <c r="C232">
        <v>31.5</v>
      </c>
      <c r="E232">
        <v>36</v>
      </c>
      <c r="G232">
        <v>40</v>
      </c>
      <c r="I232">
        <v>91.495000000000005</v>
      </c>
      <c r="J232">
        <v>-16.54</v>
      </c>
      <c r="N232" s="1"/>
      <c r="O232" s="1">
        <v>1.7335</v>
      </c>
      <c r="P232">
        <f t="shared" si="21"/>
        <v>91.770809846699848</v>
      </c>
      <c r="Q232">
        <f t="shared" si="22"/>
        <v>90.93064878625357</v>
      </c>
      <c r="R232">
        <f t="shared" si="23"/>
        <v>91.845798597467095</v>
      </c>
    </row>
    <row r="233" spans="1:24">
      <c r="A233">
        <f t="shared" si="20"/>
        <v>2266.9349999999999</v>
      </c>
      <c r="B233">
        <v>6654</v>
      </c>
      <c r="C233">
        <v>30.5</v>
      </c>
      <c r="E233">
        <v>34</v>
      </c>
      <c r="G233">
        <v>40</v>
      </c>
      <c r="I233">
        <v>91.241</v>
      </c>
      <c r="J233">
        <v>-10.07</v>
      </c>
      <c r="N233" s="1"/>
      <c r="O233" s="1">
        <v>1.6685714285714286</v>
      </c>
      <c r="P233">
        <f t="shared" si="21"/>
        <v>91.555524129272129</v>
      </c>
      <c r="Q233">
        <f t="shared" si="22"/>
        <v>90.499105683181526</v>
      </c>
      <c r="R233">
        <f t="shared" si="23"/>
        <v>91.910727168895676</v>
      </c>
    </row>
    <row r="234" spans="1:24">
      <c r="A234">
        <f t="shared" si="20"/>
        <v>2267.4349999999999</v>
      </c>
      <c r="B234">
        <v>6834</v>
      </c>
      <c r="C234">
        <v>32</v>
      </c>
      <c r="E234">
        <v>36</v>
      </c>
      <c r="G234">
        <v>43</v>
      </c>
      <c r="I234">
        <v>91.751000000000005</v>
      </c>
      <c r="J234">
        <v>-24.5</v>
      </c>
      <c r="N234" s="1"/>
      <c r="O234" s="1">
        <v>1.54</v>
      </c>
      <c r="P234">
        <f t="shared" si="21"/>
        <v>92.101098337305956</v>
      </c>
      <c r="Q234">
        <f t="shared" si="22"/>
        <v>91.124148786253571</v>
      </c>
      <c r="R234">
        <f t="shared" si="23"/>
        <v>92.667467882499565</v>
      </c>
    </row>
    <row r="235" spans="1:24">
      <c r="A235">
        <f t="shared" si="20"/>
        <v>2267.9349999999999</v>
      </c>
      <c r="B235">
        <v>7022</v>
      </c>
      <c r="C235">
        <v>29</v>
      </c>
      <c r="E235">
        <v>34</v>
      </c>
      <c r="G235">
        <v>41</v>
      </c>
      <c r="I235">
        <v>91.778999999999996</v>
      </c>
      <c r="J235">
        <v>-49.48</v>
      </c>
      <c r="N235" s="1"/>
      <c r="O235" s="1">
        <v>1.4057142857142857</v>
      </c>
      <c r="P235">
        <f t="shared" si="21"/>
        <v>91.380344443172689</v>
      </c>
      <c r="Q235">
        <f t="shared" si="22"/>
        <v>90.761962826038669</v>
      </c>
      <c r="R235">
        <f t="shared" si="23"/>
        <v>92.388061619588271</v>
      </c>
    </row>
    <row r="236" spans="1:24">
      <c r="A236">
        <f t="shared" si="20"/>
        <v>2268.4349999999999</v>
      </c>
      <c r="B236">
        <v>7214</v>
      </c>
      <c r="C236">
        <v>29</v>
      </c>
      <c r="E236">
        <v>33</v>
      </c>
      <c r="G236">
        <v>39</v>
      </c>
      <c r="I236">
        <v>91.545000000000002</v>
      </c>
      <c r="J236">
        <v>-65.150000000000006</v>
      </c>
      <c r="N236" s="1"/>
      <c r="O236" s="1">
        <v>1.4836363636363636</v>
      </c>
      <c r="P236">
        <f t="shared" si="21"/>
        <v>91.302422365250607</v>
      </c>
      <c r="Q236">
        <f t="shared" si="22"/>
        <v>90.424741204829232</v>
      </c>
      <c r="R236">
        <f t="shared" si="23"/>
        <v>91.875754547801463</v>
      </c>
    </row>
    <row r="237" spans="1:24">
      <c r="A237">
        <f t="shared" si="20"/>
        <v>2268.9349999999999</v>
      </c>
      <c r="B237">
        <v>7412</v>
      </c>
      <c r="C237">
        <v>29</v>
      </c>
      <c r="E237">
        <v>33</v>
      </c>
      <c r="G237">
        <v>37</v>
      </c>
      <c r="I237">
        <v>91.777000000000001</v>
      </c>
      <c r="J237">
        <v>-67.12</v>
      </c>
      <c r="N237" s="1"/>
      <c r="O237" s="1">
        <v>1.5736363636363637</v>
      </c>
      <c r="P237">
        <f t="shared" si="21"/>
        <v>91.212422365250603</v>
      </c>
      <c r="Q237">
        <f t="shared" si="22"/>
        <v>90.334741204829228</v>
      </c>
      <c r="R237">
        <f t="shared" si="23"/>
        <v>91.328496888611383</v>
      </c>
    </row>
    <row r="238" spans="1:24">
      <c r="A238">
        <f t="shared" si="20"/>
        <v>2269.4349999999999</v>
      </c>
      <c r="B238">
        <v>7614</v>
      </c>
      <c r="C238">
        <v>30</v>
      </c>
      <c r="E238">
        <v>35</v>
      </c>
      <c r="G238">
        <v>39</v>
      </c>
      <c r="I238">
        <v>91.674999999999997</v>
      </c>
      <c r="J238">
        <v>-71.03</v>
      </c>
      <c r="N238" s="1"/>
      <c r="O238" s="1">
        <v>1.69</v>
      </c>
      <c r="P238">
        <f t="shared" si="21"/>
        <v>91.390523865301091</v>
      </c>
      <c r="Q238">
        <f t="shared" si="22"/>
        <v>90.729459657913367</v>
      </c>
      <c r="R238">
        <f t="shared" si="23"/>
        <v>91.66939091143783</v>
      </c>
    </row>
    <row r="239" spans="1:24">
      <c r="A239">
        <f t="shared" si="20"/>
        <v>2269.9349999999999</v>
      </c>
      <c r="B239">
        <v>7822</v>
      </c>
      <c r="C239">
        <v>31</v>
      </c>
      <c r="E239">
        <v>36</v>
      </c>
      <c r="G239">
        <v>40</v>
      </c>
      <c r="I239">
        <v>91.495999999999995</v>
      </c>
      <c r="J239">
        <v>-77.12</v>
      </c>
      <c r="N239" s="1"/>
      <c r="O239" s="1">
        <v>1.8199999999999998</v>
      </c>
      <c r="P239">
        <f t="shared" si="21"/>
        <v>91.545332647593312</v>
      </c>
      <c r="Q239">
        <f t="shared" si="22"/>
        <v>90.844148786253584</v>
      </c>
      <c r="R239">
        <f t="shared" si="23"/>
        <v>91.759298597467108</v>
      </c>
    </row>
    <row r="240" spans="1:24">
      <c r="A240">
        <f t="shared" si="20"/>
        <v>2270.4349999999999</v>
      </c>
      <c r="B240">
        <v>8038</v>
      </c>
      <c r="C240">
        <v>31</v>
      </c>
      <c r="E240">
        <v>35</v>
      </c>
      <c r="G240">
        <v>40</v>
      </c>
      <c r="I240">
        <v>91.724999999999994</v>
      </c>
      <c r="J240">
        <v>-83.19</v>
      </c>
      <c r="N240" s="1"/>
      <c r="O240" s="1">
        <v>1.8823999999999999</v>
      </c>
      <c r="P240">
        <f t="shared" si="21"/>
        <v>91.482932647593302</v>
      </c>
      <c r="Q240">
        <f t="shared" si="22"/>
        <v>90.53705965791336</v>
      </c>
      <c r="R240">
        <f t="shared" si="23"/>
        <v>91.696898597467097</v>
      </c>
    </row>
    <row r="241" spans="1:18">
      <c r="A241">
        <f t="shared" si="20"/>
        <v>2270.9349999999999</v>
      </c>
      <c r="B241">
        <v>8258</v>
      </c>
      <c r="C241">
        <v>30</v>
      </c>
      <c r="E241">
        <v>35</v>
      </c>
      <c r="G241">
        <v>41</v>
      </c>
      <c r="I241">
        <v>91.489000000000004</v>
      </c>
      <c r="J241">
        <v>-95.46</v>
      </c>
      <c r="N241" s="1"/>
      <c r="O241" s="1">
        <v>1.8384</v>
      </c>
      <c r="P241">
        <f t="shared" si="21"/>
        <v>91.242123865301096</v>
      </c>
      <c r="Q241">
        <f t="shared" si="22"/>
        <v>90.581059657913357</v>
      </c>
      <c r="R241">
        <f t="shared" si="23"/>
        <v>91.95537590530256</v>
      </c>
    </row>
    <row r="242" spans="1:18">
      <c r="A242">
        <f t="shared" si="20"/>
        <v>2271.4349999999999</v>
      </c>
      <c r="B242">
        <v>8484</v>
      </c>
      <c r="C242">
        <v>30</v>
      </c>
      <c r="E242">
        <v>36</v>
      </c>
      <c r="G242">
        <v>41</v>
      </c>
      <c r="I242">
        <v>91.596999999999994</v>
      </c>
      <c r="J242">
        <v>-106.7</v>
      </c>
      <c r="N242" s="1"/>
      <c r="O242" s="1">
        <v>1.8251851851851852</v>
      </c>
      <c r="P242">
        <f t="shared" si="21"/>
        <v>91.255338680115898</v>
      </c>
      <c r="Q242">
        <f t="shared" si="22"/>
        <v>90.838963601068386</v>
      </c>
      <c r="R242">
        <f t="shared" si="23"/>
        <v>91.968590720117362</v>
      </c>
    </row>
    <row r="243" spans="1:18">
      <c r="A243">
        <f t="shared" si="20"/>
        <v>2271.9349999999999</v>
      </c>
      <c r="B243">
        <v>8716</v>
      </c>
      <c r="C243">
        <v>33.5</v>
      </c>
      <c r="E243">
        <v>39</v>
      </c>
      <c r="G243">
        <v>42</v>
      </c>
      <c r="I243">
        <v>92.025999999999996</v>
      </c>
      <c r="J243">
        <v>-121.7</v>
      </c>
      <c r="N243" s="1"/>
      <c r="O243" s="1">
        <v>1.9970370370370372</v>
      </c>
      <c r="P243">
        <f t="shared" si="21"/>
        <v>92.041957874607718</v>
      </c>
      <c r="Q243">
        <f t="shared" si="22"/>
        <v>91.362353874400796</v>
      </c>
      <c r="R243">
        <f t="shared" si="23"/>
        <v>92.006047541828806</v>
      </c>
    </row>
    <row r="244" spans="1:18">
      <c r="A244">
        <f t="shared" si="20"/>
        <v>2272.4349999999999</v>
      </c>
      <c r="B244">
        <v>8954</v>
      </c>
      <c r="C244">
        <v>35.5</v>
      </c>
      <c r="E244">
        <v>42</v>
      </c>
      <c r="G244">
        <v>46.5</v>
      </c>
      <c r="I244">
        <v>92.078000000000003</v>
      </c>
      <c r="J244">
        <v>-125.9</v>
      </c>
      <c r="N244" s="1"/>
      <c r="O244" s="1">
        <v>2.1733333333333333</v>
      </c>
      <c r="P244">
        <f t="shared" si="21"/>
        <v>92.3693324986764</v>
      </c>
      <c r="Q244">
        <f t="shared" si="22"/>
        <v>91.829751245532506</v>
      </c>
      <c r="R244">
        <f t="shared" si="23"/>
        <v>92.713824495373586</v>
      </c>
    </row>
    <row r="245" spans="1:18">
      <c r="A245">
        <f t="shared" si="20"/>
        <v>2272.9349999999999</v>
      </c>
      <c r="B245">
        <v>9200</v>
      </c>
      <c r="C245">
        <v>35</v>
      </c>
      <c r="E245">
        <v>40</v>
      </c>
      <c r="G245">
        <v>46</v>
      </c>
      <c r="I245">
        <v>92.914000000000001</v>
      </c>
      <c r="J245">
        <v>-138.69999999999999</v>
      </c>
      <c r="N245" s="1"/>
      <c r="O245" s="1">
        <v>2.2736842105263158</v>
      </c>
      <c r="P245">
        <f t="shared" si="21"/>
        <v>92.145775447387038</v>
      </c>
      <c r="Q245">
        <f t="shared" si="22"/>
        <v>91.305614386940789</v>
      </c>
      <c r="R245">
        <f t="shared" si="23"/>
        <v>92.519571194013025</v>
      </c>
    </row>
    <row r="246" spans="1:18">
      <c r="A246">
        <f t="shared" si="20"/>
        <v>2273.4349999999999</v>
      </c>
      <c r="B246">
        <v>9452</v>
      </c>
      <c r="C246">
        <v>33</v>
      </c>
      <c r="E246">
        <v>38</v>
      </c>
      <c r="G246">
        <v>43</v>
      </c>
      <c r="I246">
        <v>93.055999999999997</v>
      </c>
      <c r="J246">
        <v>-155.69999999999999</v>
      </c>
      <c r="N246" s="1"/>
      <c r="O246" s="1">
        <v>2.3621052631578947</v>
      </c>
      <c r="P246">
        <f t="shared" si="21"/>
        <v>91.546272305307696</v>
      </c>
      <c r="Q246">
        <f t="shared" si="22"/>
        <v>90.771665440086153</v>
      </c>
      <c r="R246">
        <f t="shared" si="23"/>
        <v>91.845362619341671</v>
      </c>
    </row>
    <row r="247" spans="1:18">
      <c r="A247">
        <f t="shared" si="20"/>
        <v>2273.9349999999999</v>
      </c>
      <c r="B247">
        <v>9710</v>
      </c>
      <c r="C247">
        <v>33.5</v>
      </c>
      <c r="E247">
        <v>41</v>
      </c>
      <c r="G247">
        <v>41</v>
      </c>
      <c r="I247">
        <v>93.817999999999998</v>
      </c>
      <c r="J247">
        <v>-176.3</v>
      </c>
      <c r="N247" s="1"/>
      <c r="O247" s="1">
        <v>2.4</v>
      </c>
      <c r="P247">
        <f t="shared" si="21"/>
        <v>91.638994911644744</v>
      </c>
      <c r="Q247">
        <f t="shared" si="22"/>
        <v>91.393775905302547</v>
      </c>
      <c r="R247">
        <f t="shared" si="23"/>
        <v>91.393775905302547</v>
      </c>
    </row>
    <row r="248" spans="1:18">
      <c r="A248">
        <f t="shared" si="20"/>
        <v>2274.4349999999999</v>
      </c>
      <c r="B248">
        <v>9976</v>
      </c>
      <c r="C248">
        <v>33</v>
      </c>
      <c r="E248">
        <v>40</v>
      </c>
      <c r="G248">
        <v>41.5</v>
      </c>
      <c r="I248">
        <v>93.712999999999994</v>
      </c>
      <c r="J248">
        <v>169.1</v>
      </c>
      <c r="N248" s="1"/>
      <c r="O248" s="1">
        <v>2.4</v>
      </c>
      <c r="P248">
        <f t="shared" si="21"/>
        <v>91.50837756846559</v>
      </c>
      <c r="Q248">
        <f t="shared" si="22"/>
        <v>91.179298597467096</v>
      </c>
      <c r="R248">
        <f t="shared" si="23"/>
        <v>91.499060705149688</v>
      </c>
    </row>
    <row r="249" spans="1:18">
      <c r="A249">
        <f t="shared" si="20"/>
        <v>2274.9349999999999</v>
      </c>
      <c r="B249">
        <v>10250</v>
      </c>
      <c r="C249">
        <v>32</v>
      </c>
      <c r="E249">
        <v>36.5</v>
      </c>
      <c r="G249">
        <v>42</v>
      </c>
      <c r="I249">
        <v>93.87</v>
      </c>
      <c r="J249">
        <v>166.4</v>
      </c>
      <c r="N249" s="1"/>
      <c r="O249" s="1">
        <v>2.4</v>
      </c>
      <c r="P249">
        <f t="shared" si="21"/>
        <v>91.241098337305957</v>
      </c>
      <c r="Q249">
        <f t="shared" si="22"/>
        <v>90.383956060037335</v>
      </c>
      <c r="R249">
        <f t="shared" si="23"/>
        <v>91.603084578865833</v>
      </c>
    </row>
    <row r="250" spans="1:18">
      <c r="A250">
        <f t="shared" si="20"/>
        <v>2275.4349999999999</v>
      </c>
      <c r="B250">
        <v>10530</v>
      </c>
      <c r="C250">
        <v>28</v>
      </c>
      <c r="E250">
        <v>33.5</v>
      </c>
      <c r="G250">
        <v>37</v>
      </c>
      <c r="I250">
        <v>93.378</v>
      </c>
      <c r="J250">
        <v>153.84</v>
      </c>
      <c r="N250" s="1"/>
      <c r="O250" s="1">
        <v>2.4</v>
      </c>
      <c r="P250">
        <f t="shared" si="21"/>
        <v>90.08125939775222</v>
      </c>
      <c r="Q250">
        <f t="shared" si="22"/>
        <v>89.638994911644744</v>
      </c>
      <c r="R250">
        <f t="shared" si="23"/>
        <v>90.502133252247745</v>
      </c>
    </row>
    <row r="251" spans="1:18">
      <c r="A251">
        <f t="shared" si="20"/>
        <v>2275.9349999999999</v>
      </c>
      <c r="B251">
        <v>10818</v>
      </c>
      <c r="C251">
        <v>30</v>
      </c>
      <c r="E251">
        <v>36</v>
      </c>
      <c r="G251">
        <v>36</v>
      </c>
      <c r="I251">
        <v>93.02</v>
      </c>
      <c r="J251">
        <v>137.94</v>
      </c>
      <c r="N251" s="1"/>
      <c r="O251" s="1">
        <v>2.401176470588235</v>
      </c>
      <c r="P251">
        <f t="shared" si="21"/>
        <v>90.679347394712849</v>
      </c>
      <c r="Q251">
        <f t="shared" si="22"/>
        <v>90.262972315665337</v>
      </c>
      <c r="R251">
        <f t="shared" si="23"/>
        <v>90.262972315665337</v>
      </c>
    </row>
    <row r="252" spans="1:18">
      <c r="A252">
        <f t="shared" si="20"/>
        <v>2276.4349999999999</v>
      </c>
      <c r="B252">
        <v>11114</v>
      </c>
      <c r="C252">
        <v>33</v>
      </c>
      <c r="E252">
        <v>39.5</v>
      </c>
      <c r="G252">
        <v>39.5</v>
      </c>
      <c r="I252">
        <v>92.323999999999998</v>
      </c>
      <c r="J252">
        <v>134.15</v>
      </c>
      <c r="N252" s="1"/>
      <c r="O252" s="1">
        <v>2.4447058823529413</v>
      </c>
      <c r="P252">
        <f t="shared" si="21"/>
        <v>91.463671686112662</v>
      </c>
      <c r="Q252">
        <f t="shared" si="22"/>
        <v>91.025334801084114</v>
      </c>
      <c r="R252">
        <f t="shared" si="23"/>
        <v>91.025334801084114</v>
      </c>
    </row>
    <row r="253" spans="1:18">
      <c r="A253">
        <f t="shared" si="20"/>
        <v>2276.9349999999999</v>
      </c>
      <c r="B253">
        <v>11418</v>
      </c>
      <c r="C253">
        <v>32</v>
      </c>
      <c r="E253">
        <v>37</v>
      </c>
      <c r="G253">
        <v>40</v>
      </c>
      <c r="I253">
        <v>91.980999999999995</v>
      </c>
      <c r="J253">
        <v>148.16</v>
      </c>
      <c r="N253" s="1"/>
      <c r="O253" s="1">
        <v>2.4894117647058822</v>
      </c>
      <c r="P253">
        <f t="shared" si="21"/>
        <v>91.151686572600084</v>
      </c>
      <c r="Q253">
        <f t="shared" si="22"/>
        <v>90.412721487541873</v>
      </c>
      <c r="R253">
        <f t="shared" si="23"/>
        <v>91.089886832761223</v>
      </c>
    </row>
    <row r="254" spans="1:18">
      <c r="A254">
        <f t="shared" si="20"/>
        <v>2277.4349999999999</v>
      </c>
      <c r="B254">
        <v>11730</v>
      </c>
      <c r="C254">
        <v>29.5</v>
      </c>
      <c r="E254">
        <v>35</v>
      </c>
      <c r="G254">
        <v>39</v>
      </c>
      <c r="I254">
        <v>91.409000000000006</v>
      </c>
      <c r="J254">
        <v>161.65</v>
      </c>
      <c r="N254" s="1"/>
      <c r="O254" s="1">
        <v>2.5</v>
      </c>
      <c r="P254">
        <f t="shared" si="21"/>
        <v>90.434539090471105</v>
      </c>
      <c r="Q254">
        <f t="shared" si="22"/>
        <v>89.919459657913364</v>
      </c>
      <c r="R254">
        <f t="shared" si="23"/>
        <v>90.859390911437828</v>
      </c>
    </row>
    <row r="255" spans="1:18">
      <c r="A255">
        <f t="shared" si="20"/>
        <v>2277.9349999999999</v>
      </c>
      <c r="B255">
        <v>12052</v>
      </c>
      <c r="C255">
        <v>31.5</v>
      </c>
      <c r="E255">
        <v>38</v>
      </c>
      <c r="G255">
        <v>39</v>
      </c>
      <c r="I255">
        <v>91.352999999999994</v>
      </c>
      <c r="J255">
        <v>169.11</v>
      </c>
      <c r="N255" s="1"/>
      <c r="O255" s="1">
        <v>2.5</v>
      </c>
      <c r="P255">
        <f t="shared" si="21"/>
        <v>91.004309846699854</v>
      </c>
      <c r="Q255">
        <f t="shared" si="22"/>
        <v>90.633770703244053</v>
      </c>
      <c r="R255">
        <f t="shared" si="23"/>
        <v>90.859390911437828</v>
      </c>
    </row>
    <row r="256" spans="1:18">
      <c r="A256">
        <f t="shared" si="20"/>
        <v>2278.4349999999999</v>
      </c>
      <c r="B256">
        <v>12382</v>
      </c>
      <c r="C256">
        <v>31</v>
      </c>
      <c r="E256">
        <v>35</v>
      </c>
      <c r="G256">
        <v>40</v>
      </c>
      <c r="I256">
        <v>91.484999999999999</v>
      </c>
      <c r="J256">
        <v>-170.1</v>
      </c>
      <c r="N256" s="1"/>
      <c r="O256" s="1">
        <v>2.6038461538461539</v>
      </c>
      <c r="P256">
        <f t="shared" si="21"/>
        <v>90.761486493747157</v>
      </c>
      <c r="Q256">
        <f t="shared" si="22"/>
        <v>89.815613504067215</v>
      </c>
      <c r="R256">
        <f t="shared" si="23"/>
        <v>90.975452443620952</v>
      </c>
    </row>
    <row r="257" spans="1:18">
      <c r="A257">
        <f t="shared" si="20"/>
        <v>2278.9349999999999</v>
      </c>
      <c r="B257">
        <v>12722</v>
      </c>
      <c r="C257">
        <v>31</v>
      </c>
      <c r="E257">
        <v>37</v>
      </c>
      <c r="G257">
        <v>38</v>
      </c>
      <c r="I257">
        <v>91.602000000000004</v>
      </c>
      <c r="J257">
        <v>-134.5</v>
      </c>
      <c r="N257" s="1"/>
      <c r="O257" s="1">
        <v>2.821794871794872</v>
      </c>
      <c r="P257">
        <f t="shared" si="21"/>
        <v>90.543537775798427</v>
      </c>
      <c r="Q257">
        <f t="shared" si="22"/>
        <v>90.080338380452872</v>
      </c>
      <c r="R257">
        <f t="shared" si="23"/>
        <v>90.311975831449175</v>
      </c>
    </row>
    <row r="258" spans="1:18">
      <c r="A258">
        <f t="shared" si="20"/>
        <v>2279.4349999999999</v>
      </c>
      <c r="B258">
        <v>13070</v>
      </c>
      <c r="C258">
        <v>35</v>
      </c>
      <c r="E258">
        <v>43</v>
      </c>
      <c r="G258">
        <v>41</v>
      </c>
      <c r="I258">
        <v>91.98</v>
      </c>
      <c r="J258">
        <v>-109.3</v>
      </c>
      <c r="N258" s="1"/>
      <c r="O258" s="1">
        <v>3.0168674698795179</v>
      </c>
      <c r="P258">
        <f t="shared" si="21"/>
        <v>91.402592188033836</v>
      </c>
      <c r="Q258">
        <f t="shared" si="22"/>
        <v>91.190600412620057</v>
      </c>
      <c r="R258">
        <f t="shared" si="23"/>
        <v>90.776908435423039</v>
      </c>
    </row>
    <row r="259" spans="1:18">
      <c r="A259">
        <f t="shared" si="20"/>
        <v>2279.9349999999999</v>
      </c>
      <c r="B259">
        <v>13428</v>
      </c>
      <c r="C259">
        <v>39</v>
      </c>
      <c r="E259">
        <v>44</v>
      </c>
      <c r="G259">
        <v>53</v>
      </c>
      <c r="I259">
        <v>92.506</v>
      </c>
      <c r="J259">
        <v>-117.4</v>
      </c>
      <c r="N259" s="1"/>
      <c r="O259" s="1">
        <v>3.1031325301204822</v>
      </c>
      <c r="P259">
        <f t="shared" si="21"/>
        <v>92.256258381317352</v>
      </c>
      <c r="Q259">
        <f t="shared" si="22"/>
        <v>91.304019770511118</v>
      </c>
      <c r="R259">
        <f t="shared" si="23"/>
        <v>92.920483632803155</v>
      </c>
    </row>
    <row r="260" spans="1:18">
      <c r="A260">
        <f t="shared" si="20"/>
        <v>2280.4349999999999</v>
      </c>
      <c r="B260">
        <v>13796</v>
      </c>
      <c r="C260">
        <v>38</v>
      </c>
      <c r="E260">
        <v>46</v>
      </c>
      <c r="G260">
        <v>51</v>
      </c>
      <c r="I260">
        <v>93.135999999999996</v>
      </c>
      <c r="J260">
        <v>-167.9</v>
      </c>
      <c r="N260" s="1"/>
      <c r="O260" s="1">
        <v>3.1918072289156627</v>
      </c>
      <c r="P260">
        <f t="shared" si="21"/>
        <v>91.941963474328375</v>
      </c>
      <c r="Q260">
        <f t="shared" si="22"/>
        <v>91.601448175623673</v>
      </c>
      <c r="R260">
        <f t="shared" si="23"/>
        <v>92.4976950639509</v>
      </c>
    </row>
    <row r="261" spans="1:18">
      <c r="A261">
        <f t="shared" si="20"/>
        <v>2280.9349999999999</v>
      </c>
      <c r="B261">
        <v>14174</v>
      </c>
      <c r="C261">
        <v>44</v>
      </c>
      <c r="E261">
        <v>60</v>
      </c>
      <c r="G261">
        <v>56</v>
      </c>
      <c r="I261">
        <v>93.691999999999993</v>
      </c>
      <c r="J261">
        <v>137.13</v>
      </c>
      <c r="N261" s="1"/>
      <c r="O261" s="1">
        <v>3.2790804597701149</v>
      </c>
      <c r="P261">
        <f t="shared" si="21"/>
        <v>93.12807184086148</v>
      </c>
      <c r="Q261">
        <f t="shared" si="22"/>
        <v>93.822043318810614</v>
      </c>
      <c r="R261">
        <f t="shared" si="23"/>
        <v>93.222778851261751</v>
      </c>
    </row>
    <row r="262" spans="1:18">
      <c r="A262">
        <f t="shared" si="20"/>
        <v>2281.4349999999999</v>
      </c>
      <c r="B262">
        <v>14560</v>
      </c>
      <c r="C262">
        <v>42</v>
      </c>
      <c r="E262">
        <v>54</v>
      </c>
      <c r="G262">
        <v>57</v>
      </c>
      <c r="I262">
        <v>93.983000000000004</v>
      </c>
      <c r="J262">
        <v>108.56</v>
      </c>
      <c r="N262" s="1"/>
      <c r="O262" s="1">
        <v>3.367816091954023</v>
      </c>
      <c r="P262">
        <f t="shared" si="21"/>
        <v>92.635268486911826</v>
      </c>
      <c r="Q262">
        <f t="shared" si="22"/>
        <v>92.818157875413178</v>
      </c>
      <c r="R262">
        <f t="shared" si="23"/>
        <v>93.287779792403654</v>
      </c>
    </row>
    <row r="263" spans="1:18">
      <c r="A263">
        <f t="shared" si="20"/>
        <v>2281.9349999999999</v>
      </c>
      <c r="B263">
        <v>14960</v>
      </c>
      <c r="C263">
        <v>39</v>
      </c>
      <c r="E263">
        <v>54</v>
      </c>
      <c r="G263">
        <v>51.5</v>
      </c>
      <c r="I263">
        <v>94.078000000000003</v>
      </c>
      <c r="J263">
        <v>95.691999999999993</v>
      </c>
      <c r="N263" s="1"/>
      <c r="O263" s="1">
        <v>3.4553191489361703</v>
      </c>
      <c r="P263">
        <f t="shared" si="21"/>
        <v>91.904071762501658</v>
      </c>
      <c r="Q263">
        <f t="shared" si="22"/>
        <v>92.730654818431034</v>
      </c>
      <c r="R263">
        <f t="shared" si="23"/>
        <v>92.318924202795486</v>
      </c>
    </row>
    <row r="264" spans="1:18">
      <c r="A264">
        <f t="shared" si="20"/>
        <v>2282.4349999999999</v>
      </c>
      <c r="B264">
        <v>15368</v>
      </c>
      <c r="C264">
        <v>39</v>
      </c>
      <c r="E264">
        <v>53</v>
      </c>
      <c r="G264">
        <v>51</v>
      </c>
      <c r="I264">
        <v>94.072000000000003</v>
      </c>
      <c r="J264">
        <v>69.575000000000003</v>
      </c>
      <c r="N264" s="1"/>
      <c r="O264" s="1">
        <v>3.5421276595744682</v>
      </c>
      <c r="P264">
        <f t="shared" si="21"/>
        <v>91.817263251863366</v>
      </c>
      <c r="Q264">
        <f t="shared" si="22"/>
        <v>92.481488503349169</v>
      </c>
      <c r="R264">
        <f t="shared" si="23"/>
        <v>92.147374633292102</v>
      </c>
    </row>
    <row r="265" spans="1:18">
      <c r="A265">
        <f t="shared" si="20"/>
        <v>2282.9349999999999</v>
      </c>
      <c r="B265">
        <v>15790</v>
      </c>
      <c r="C265">
        <v>37</v>
      </c>
      <c r="E265">
        <v>47</v>
      </c>
      <c r="G265">
        <v>51</v>
      </c>
      <c r="I265">
        <v>94.070999999999998</v>
      </c>
      <c r="J265">
        <v>31.821000000000002</v>
      </c>
      <c r="N265" s="1"/>
      <c r="O265" s="1">
        <v>3.6</v>
      </c>
      <c r="P265">
        <f t="shared" si="21"/>
        <v>91.302133252247742</v>
      </c>
      <c r="Q265">
        <f t="shared" si="22"/>
        <v>91.380055929622188</v>
      </c>
      <c r="R265">
        <f t="shared" si="23"/>
        <v>92.08950229286657</v>
      </c>
    </row>
    <row r="266" spans="1:18">
      <c r="A266">
        <f t="shared" si="20"/>
        <v>2283.4349999999999</v>
      </c>
      <c r="B266">
        <v>16222</v>
      </c>
      <c r="C266">
        <v>46</v>
      </c>
      <c r="E266">
        <v>55</v>
      </c>
      <c r="G266">
        <v>46</v>
      </c>
      <c r="I266">
        <v>94.165999999999997</v>
      </c>
      <c r="J266">
        <v>-7.52</v>
      </c>
      <c r="N266" s="1"/>
      <c r="O266" s="1">
        <v>3.6</v>
      </c>
      <c r="P266">
        <f t="shared" si="21"/>
        <v>93.193255404539329</v>
      </c>
      <c r="Q266">
        <f t="shared" si="22"/>
        <v>92.745352560792739</v>
      </c>
      <c r="R266">
        <f t="shared" si="23"/>
        <v>91.193255404539343</v>
      </c>
    </row>
    <row r="267" spans="1:18">
      <c r="A267">
        <f t="shared" si="20"/>
        <v>2283.9349999999999</v>
      </c>
      <c r="B267">
        <v>16666</v>
      </c>
      <c r="C267">
        <v>33</v>
      </c>
      <c r="E267">
        <v>40</v>
      </c>
      <c r="G267">
        <v>33</v>
      </c>
      <c r="I267">
        <v>94.304000000000002</v>
      </c>
      <c r="J267">
        <v>-44.61</v>
      </c>
      <c r="N267" s="1"/>
      <c r="O267" s="1">
        <v>3.5966037735849059</v>
      </c>
      <c r="P267">
        <f t="shared" si="21"/>
        <v>90.311773794880693</v>
      </c>
      <c r="Q267">
        <f t="shared" si="22"/>
        <v>89.982694823882198</v>
      </c>
      <c r="R267">
        <f t="shared" si="23"/>
        <v>88.311773794880693</v>
      </c>
    </row>
    <row r="268" spans="1:18">
      <c r="A268">
        <f t="shared" si="20"/>
        <v>2284.4349999999999</v>
      </c>
      <c r="B268">
        <v>17122</v>
      </c>
      <c r="C268">
        <v>40</v>
      </c>
      <c r="E268">
        <v>47</v>
      </c>
      <c r="G268">
        <v>40</v>
      </c>
      <c r="I268">
        <v>94.272999999999996</v>
      </c>
      <c r="J268">
        <v>-88.83</v>
      </c>
      <c r="N268" s="1"/>
      <c r="O268" s="1">
        <v>3.5535849056603772</v>
      </c>
      <c r="P268">
        <f t="shared" si="21"/>
        <v>92.025713691806715</v>
      </c>
      <c r="Q268">
        <f t="shared" si="22"/>
        <v>91.42647102396181</v>
      </c>
      <c r="R268">
        <f t="shared" si="23"/>
        <v>90.025713691806729</v>
      </c>
    </row>
    <row r="269" spans="1:18">
      <c r="A269">
        <f t="shared" si="20"/>
        <v>2284.9349999999999</v>
      </c>
      <c r="B269">
        <v>17592</v>
      </c>
      <c r="C269">
        <v>54</v>
      </c>
      <c r="E269">
        <v>65</v>
      </c>
      <c r="G269">
        <v>61.5</v>
      </c>
      <c r="I269">
        <v>93.876000000000005</v>
      </c>
      <c r="J269">
        <v>-144.5</v>
      </c>
      <c r="N269" s="1"/>
      <c r="O269" s="1">
        <v>3.5092452830188678</v>
      </c>
      <c r="P269">
        <f t="shared" si="21"/>
        <v>94.676728684348348</v>
      </c>
      <c r="Q269">
        <f t="shared" si="22"/>
        <v>94.287120620746094</v>
      </c>
      <c r="R269">
        <f t="shared" si="23"/>
        <v>93.80635580339731</v>
      </c>
    </row>
    <row r="270" spans="1:18">
      <c r="A270">
        <f t="shared" si="20"/>
        <v>2285.4349999999999</v>
      </c>
      <c r="B270">
        <v>18074</v>
      </c>
      <c r="C270">
        <v>37</v>
      </c>
      <c r="E270">
        <v>65</v>
      </c>
      <c r="G270">
        <v>62</v>
      </c>
      <c r="I270">
        <v>92.945999999999998</v>
      </c>
      <c r="J270">
        <v>173.2</v>
      </c>
      <c r="N270" s="1"/>
      <c r="O270" s="1">
        <v>3.5</v>
      </c>
      <c r="P270">
        <f t="shared" si="21"/>
        <v>91.402133252247737</v>
      </c>
      <c r="Q270">
        <f t="shared" si="22"/>
        <v>94.296365903764965</v>
      </c>
      <c r="R270">
        <f t="shared" si="23"/>
        <v>93.885932560872916</v>
      </c>
    </row>
    <row r="271" spans="1:18">
      <c r="A271">
        <f t="shared" si="20"/>
        <v>2285.9349999999999</v>
      </c>
      <c r="B271">
        <v>18568</v>
      </c>
      <c r="C271">
        <v>21</v>
      </c>
      <c r="E271">
        <v>43</v>
      </c>
      <c r="G271">
        <v>42</v>
      </c>
      <c r="I271">
        <v>91.561000000000007</v>
      </c>
      <c r="J271">
        <v>120.63</v>
      </c>
      <c r="N271" s="1">
        <v>-0.16866335073725625</v>
      </c>
      <c r="O271" s="1">
        <v>3.5</v>
      </c>
      <c r="P271">
        <f t="shared" si="21"/>
        <v>86.651148016323489</v>
      </c>
      <c r="Q271">
        <f t="shared" si="22"/>
        <v>90.876131233236833</v>
      </c>
      <c r="R271">
        <f t="shared" si="23"/>
        <v>90.6717479296031</v>
      </c>
    </row>
    <row r="272" spans="1:18">
      <c r="A272">
        <f t="shared" si="20"/>
        <v>2286.4349999999999</v>
      </c>
      <c r="B272">
        <v>19076</v>
      </c>
      <c r="C272">
        <v>16</v>
      </c>
      <c r="E272">
        <v>32</v>
      </c>
      <c r="G272">
        <v>26</v>
      </c>
      <c r="I272">
        <v>89.924000000000007</v>
      </c>
      <c r="J272">
        <v>63.712000000000003</v>
      </c>
      <c r="N272" s="1">
        <v>-0.34066678597560685</v>
      </c>
      <c r="O272" s="1">
        <v>3.5227350427350426</v>
      </c>
      <c r="P272">
        <f t="shared" si="21"/>
        <v>84.438430167266901</v>
      </c>
      <c r="Q272">
        <f t="shared" si="22"/>
        <v>88.45903008054654</v>
      </c>
      <c r="R272">
        <f t="shared" si="23"/>
        <v>86.655497473564765</v>
      </c>
    </row>
    <row r="273" spans="1:18">
      <c r="A273">
        <f t="shared" si="20"/>
        <v>2286.9349999999999</v>
      </c>
      <c r="B273">
        <v>19598</v>
      </c>
      <c r="C273">
        <v>20</v>
      </c>
      <c r="E273">
        <v>30</v>
      </c>
      <c r="G273">
        <v>23</v>
      </c>
      <c r="I273">
        <v>88.603999999999999</v>
      </c>
      <c r="J273">
        <v>18.111999999999998</v>
      </c>
      <c r="N273" s="1">
        <v>-0.69524212518423834</v>
      </c>
      <c r="O273" s="1">
        <v>3.5673504273504273</v>
      </c>
      <c r="P273">
        <f t="shared" si="21"/>
        <v>86.686590382021265</v>
      </c>
      <c r="Q273">
        <f t="shared" si="22"/>
        <v>88.208415563134906</v>
      </c>
      <c r="R273">
        <f t="shared" si="23"/>
        <v>85.900547189093515</v>
      </c>
    </row>
    <row r="274" spans="1:18">
      <c r="A274">
        <f t="shared" si="20"/>
        <v>2287.4349999999999</v>
      </c>
      <c r="B274">
        <v>20000</v>
      </c>
      <c r="C274">
        <v>16</v>
      </c>
      <c r="E274">
        <v>19</v>
      </c>
      <c r="G274">
        <v>15</v>
      </c>
      <c r="I274">
        <v>87.814999999999998</v>
      </c>
      <c r="J274">
        <v>-18.989999999999998</v>
      </c>
      <c r="N274" s="1">
        <v>-1.0649102390645022</v>
      </c>
      <c r="O274" s="1">
        <v>3.6</v>
      </c>
      <c r="P274">
        <f t="shared" si="21"/>
        <v>85.085408663090845</v>
      </c>
      <c r="Q274">
        <f t="shared" si="22"/>
        <v>84.578081029028937</v>
      </c>
      <c r="R274">
        <f t="shared" si="23"/>
        <v>82.524834191085986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Anleitung</vt:lpstr>
      <vt:lpstr>W200S-4</vt:lpstr>
      <vt:lpstr>WS20E-4</vt:lpstr>
      <vt:lpstr>B80-8</vt:lpstr>
      <vt:lpstr>FRS8-4</vt:lpstr>
      <vt:lpstr>G20SC-8</vt:lpstr>
      <vt:lpstr>DT94-8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</dc:creator>
  <cp:lastModifiedBy>WH</cp:lastModifiedBy>
  <dcterms:created xsi:type="dcterms:W3CDTF">2017-07-07T14:37:24Z</dcterms:created>
  <dcterms:modified xsi:type="dcterms:W3CDTF">2017-10-30T15:25:57Z</dcterms:modified>
</cp:coreProperties>
</file>